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08" windowWidth="15300" windowHeight="7944" activeTab="0"/>
  </bookViews>
  <sheets>
    <sheet name="Кугеси" sheetId="1" r:id="rId1"/>
  </sheets>
  <definedNames/>
  <calcPr fullCalcOnLoad="1"/>
</workbook>
</file>

<file path=xl/sharedStrings.xml><?xml version="1.0" encoding="utf-8"?>
<sst xmlns="http://schemas.openxmlformats.org/spreadsheetml/2006/main" count="268" uniqueCount="76">
  <si>
    <t>% оплаты</t>
  </si>
  <si>
    <t>Советская</t>
  </si>
  <si>
    <t>К.Маркса</t>
  </si>
  <si>
    <t>Шоссейная</t>
  </si>
  <si>
    <t>Адрес МКД</t>
  </si>
  <si>
    <t>улица</t>
  </si>
  <si>
    <t>№</t>
  </si>
  <si>
    <t>62а</t>
  </si>
  <si>
    <t xml:space="preserve">Советская </t>
  </si>
  <si>
    <t>15а</t>
  </si>
  <si>
    <t>17а</t>
  </si>
  <si>
    <t>57а</t>
  </si>
  <si>
    <t>59а</t>
  </si>
  <si>
    <t>86 /1</t>
  </si>
  <si>
    <t>Первомайская</t>
  </si>
  <si>
    <t>11 /1</t>
  </si>
  <si>
    <t>15 /1</t>
  </si>
  <si>
    <t>64а</t>
  </si>
  <si>
    <t>2а</t>
  </si>
  <si>
    <t>25 / 1</t>
  </si>
  <si>
    <t>5а</t>
  </si>
  <si>
    <t>Н.Конституции</t>
  </si>
  <si>
    <t>1а</t>
  </si>
  <si>
    <t>1б</t>
  </si>
  <si>
    <t>1г</t>
  </si>
  <si>
    <t>7а</t>
  </si>
  <si>
    <t>4а</t>
  </si>
  <si>
    <t>Шоршелская</t>
  </si>
  <si>
    <t>Геологическая</t>
  </si>
  <si>
    <t>Тепличная</t>
  </si>
  <si>
    <t>Кутузова</t>
  </si>
  <si>
    <t>Садовая</t>
  </si>
  <si>
    <t>50лет СССР</t>
  </si>
  <si>
    <t>Механизаторов</t>
  </si>
  <si>
    <t>Мелиораторов</t>
  </si>
  <si>
    <t>30лет Победы</t>
  </si>
  <si>
    <t>Марпосадская</t>
  </si>
  <si>
    <t>12, 12а</t>
  </si>
  <si>
    <t>Строительная</t>
  </si>
  <si>
    <t xml:space="preserve">Калинина </t>
  </si>
  <si>
    <t>втч Недвижимость</t>
  </si>
  <si>
    <t xml:space="preserve">      Росгосстрах</t>
  </si>
  <si>
    <t xml:space="preserve">      УФК</t>
  </si>
  <si>
    <t>Население</t>
  </si>
  <si>
    <t>Задолженность населения  за жилищно-коммунальные услуги</t>
  </si>
  <si>
    <t>Нежилые помещения</t>
  </si>
  <si>
    <t>Затраты управляющей компании, руб.</t>
  </si>
  <si>
    <t>Площадь МКД, м2</t>
  </si>
  <si>
    <t>Справочно</t>
  </si>
  <si>
    <t>Оплата подрядным предприятиям за содержание и ремонт жилья, руб.</t>
  </si>
  <si>
    <t>в том числе</t>
  </si>
  <si>
    <t xml:space="preserve">Техобслуживание газового оборудования </t>
  </si>
  <si>
    <t>Дератизация подвальных помещений</t>
  </si>
  <si>
    <t>Содержание  и ремонт мест общего пользования</t>
  </si>
  <si>
    <t>1в</t>
  </si>
  <si>
    <t>Восточная</t>
  </si>
  <si>
    <t xml:space="preserve">11 Пятилетки </t>
  </si>
  <si>
    <t>В/Сюктерское сельское поселение: п.Сюктерка, д.Вурманкасы</t>
  </si>
  <si>
    <t>Сирмапосинское сельское поселение : д.Чиршкасы</t>
  </si>
  <si>
    <t>Лапсарское сельское поселение: д.Сятракасы</t>
  </si>
  <si>
    <t>Кугесьское сельское поселение: п.Кугеси</t>
  </si>
  <si>
    <t xml:space="preserve">Вега </t>
  </si>
  <si>
    <t xml:space="preserve">Волга </t>
  </si>
  <si>
    <t>Волжские зори</t>
  </si>
  <si>
    <t>Главная</t>
  </si>
  <si>
    <t xml:space="preserve">Сведения о доходах и расходах ООО "Жилкомцентр" за 2012год  от оказания услуг по управлению многоквартирными домами   </t>
  </si>
  <si>
    <t>Начислено населению за содержание и ремонт жилого помещения в 2012г., руб.</t>
  </si>
  <si>
    <t>на 01.01.2013г., руб.</t>
  </si>
  <si>
    <t>Вывоз твердых бытовых отходов и крупногаб.мусора, изгот. контейнеров и площадок</t>
  </si>
  <si>
    <t>Оплачено населением за содержание и ремонт жилого помещения, руб.</t>
  </si>
  <si>
    <t>Затраты управляющей компании, руб./ м2 в мес.</t>
  </si>
  <si>
    <t>Затраты на содержание и ремонт жилья, руб.ВСЕГО</t>
  </si>
  <si>
    <t>ИТОГО МКД</t>
  </si>
  <si>
    <t>Затраты аварийно-диспетчерской службы</t>
  </si>
  <si>
    <t>Затраты за членство в СРО "Содружество"</t>
  </si>
  <si>
    <t>Обсл. вентканалов и дымоходов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</si>
</sst>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_-* #,##0.0_р_._-;\-* #,##0.0_р_._-;_-* &quot;-&quot;??_р_._-;_-@_-"/>
    <numFmt numFmtId="170" formatCode="_-* #,##0_р_._-;\-* #,##0_р_._-;_-* &quot;-&quot;??_р_._-;_-@_-"/>
    <numFmt numFmtId="171" formatCode="0.0000000"/>
  </numFmts>
  <fonts count="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6"/>
      <name val="Arial Cyr"/>
      <family val="0"/>
    </font>
    <font>
      <sz val="10"/>
      <color indexed="10"/>
      <name val="Arial Cyr"/>
      <family val="0"/>
    </font>
    <font>
      <i/>
      <sz val="10"/>
      <name val="Arial Cyr"/>
      <family val="0"/>
    </font>
    <font>
      <b/>
      <sz val="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" fontId="0" fillId="0" borderId="1" xfId="0" applyNumberFormat="1" applyFill="1" applyBorder="1" applyAlignment="1">
      <alignment/>
    </xf>
    <xf numFmtId="0" fontId="0" fillId="0" borderId="1" xfId="0" applyFill="1" applyBorder="1" applyAlignment="1">
      <alignment horizontal="right"/>
    </xf>
    <xf numFmtId="0" fontId="2" fillId="0" borderId="0" xfId="0" applyFont="1" applyFill="1" applyBorder="1" applyAlignment="1">
      <alignment/>
    </xf>
    <xf numFmtId="168" fontId="0" fillId="0" borderId="1" xfId="0" applyNumberFormat="1" applyFill="1" applyBorder="1" applyAlignment="1">
      <alignment/>
    </xf>
    <xf numFmtId="1" fontId="0" fillId="0" borderId="0" xfId="0" applyNumberFormat="1" applyAlignment="1">
      <alignment/>
    </xf>
    <xf numFmtId="1" fontId="0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/>
    </xf>
    <xf numFmtId="2" fontId="0" fillId="0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1" fontId="0" fillId="0" borderId="2" xfId="0" applyNumberFormat="1" applyFill="1" applyBorder="1" applyAlignment="1">
      <alignment/>
    </xf>
    <xf numFmtId="2" fontId="0" fillId="0" borderId="2" xfId="0" applyNumberForma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2" fillId="0" borderId="1" xfId="0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/>
    </xf>
    <xf numFmtId="168" fontId="2" fillId="0" borderId="1" xfId="0" applyNumberFormat="1" applyFont="1" applyFill="1" applyBorder="1" applyAlignment="1">
      <alignment/>
    </xf>
    <xf numFmtId="1" fontId="5" fillId="0" borderId="1" xfId="0" applyNumberFormat="1" applyFont="1" applyFill="1" applyBorder="1" applyAlignment="1">
      <alignment/>
    </xf>
    <xf numFmtId="1" fontId="5" fillId="0" borderId="2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2" fontId="5" fillId="0" borderId="1" xfId="0" applyNumberFormat="1" applyFont="1" applyFill="1" applyBorder="1" applyAlignment="1">
      <alignment/>
    </xf>
    <xf numFmtId="2" fontId="5" fillId="0" borderId="2" xfId="0" applyNumberFormat="1" applyFont="1" applyFill="1" applyBorder="1" applyAlignment="1">
      <alignment/>
    </xf>
    <xf numFmtId="0" fontId="6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left"/>
    </xf>
    <xf numFmtId="0" fontId="2" fillId="0" borderId="3" xfId="0" applyFont="1" applyFill="1" applyBorder="1" applyAlignment="1">
      <alignment horizontal="left"/>
    </xf>
    <xf numFmtId="1" fontId="2" fillId="0" borderId="3" xfId="0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2" fontId="0" fillId="0" borderId="6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right" vertical="center" wrapText="1"/>
    </xf>
    <xf numFmtId="2" fontId="0" fillId="0" borderId="7" xfId="0" applyNumberFormat="1" applyFill="1" applyBorder="1" applyAlignment="1">
      <alignment horizontal="center" vertical="center" wrapText="1"/>
    </xf>
    <xf numFmtId="0" fontId="0" fillId="0" borderId="7" xfId="0" applyFill="1" applyBorder="1" applyAlignment="1">
      <alignment/>
    </xf>
    <xf numFmtId="0" fontId="6" fillId="0" borderId="2" xfId="0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/>
    </xf>
    <xf numFmtId="2" fontId="0" fillId="0" borderId="2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/>
    </xf>
    <xf numFmtId="49" fontId="0" fillId="0" borderId="1" xfId="0" applyNumberForma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68" fontId="2" fillId="0" borderId="1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168" fontId="5" fillId="0" borderId="1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16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Alignment="1">
      <alignment/>
    </xf>
    <xf numFmtId="1" fontId="0" fillId="0" borderId="1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2"/>
  <sheetViews>
    <sheetView tabSelected="1" workbookViewId="0" topLeftCell="K328">
      <selection activeCell="A1" sqref="A1:R332"/>
    </sheetView>
  </sheetViews>
  <sheetFormatPr defaultColWidth="9.00390625" defaultRowHeight="12.75"/>
  <cols>
    <col min="1" max="1" width="16.125" style="0" customWidth="1"/>
    <col min="2" max="2" width="5.625" style="13" customWidth="1"/>
    <col min="3" max="3" width="9.50390625" style="12" customWidth="1"/>
    <col min="4" max="4" width="15.50390625" style="0" customWidth="1"/>
    <col min="5" max="5" width="14.625" style="0" customWidth="1"/>
    <col min="6" max="6" width="8.50390625" style="0" customWidth="1"/>
    <col min="7" max="7" width="13.00390625" style="19" customWidth="1"/>
    <col min="8" max="8" width="11.00390625" style="0" customWidth="1"/>
    <col min="9" max="10" width="8.25390625" style="0" customWidth="1"/>
    <col min="11" max="11" width="8.50390625" style="0" customWidth="1"/>
    <col min="12" max="12" width="12.125" style="0" customWidth="1"/>
    <col min="13" max="13" width="8.375" style="8" customWidth="1"/>
    <col min="14" max="14" width="20.50390625" style="21" hidden="1" customWidth="1"/>
    <col min="15" max="15" width="11.25390625" style="0" customWidth="1"/>
    <col min="16" max="16" width="10.125" style="0" customWidth="1"/>
    <col min="17" max="17" width="11.25390625" style="0" customWidth="1"/>
    <col min="18" max="18" width="15.50390625" style="0" customWidth="1"/>
  </cols>
  <sheetData>
    <row r="1" spans="1:18" ht="12.75">
      <c r="A1" s="41" t="s">
        <v>65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ht="12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2.75">
      <c r="A3" s="79" t="s">
        <v>60</v>
      </c>
      <c r="B3" s="36"/>
      <c r="C3" s="42"/>
      <c r="D3" s="43"/>
      <c r="E3" s="43"/>
      <c r="F3" s="17"/>
      <c r="G3" s="17"/>
      <c r="H3" s="17"/>
      <c r="I3" s="17"/>
      <c r="J3" s="17"/>
      <c r="K3" s="17"/>
      <c r="L3" s="17"/>
      <c r="M3" s="44"/>
      <c r="N3" s="17"/>
      <c r="O3" s="17"/>
      <c r="P3" s="16"/>
      <c r="Q3" s="16"/>
      <c r="R3" s="16"/>
    </row>
    <row r="4" spans="1:18" ht="18.75" customHeight="1">
      <c r="A4" s="45" t="s">
        <v>4</v>
      </c>
      <c r="B4" s="46"/>
      <c r="C4" s="47" t="s">
        <v>47</v>
      </c>
      <c r="D4" s="38" t="s">
        <v>66</v>
      </c>
      <c r="E4" s="38" t="s">
        <v>69</v>
      </c>
      <c r="F4" s="38" t="s">
        <v>0</v>
      </c>
      <c r="G4" s="38" t="s">
        <v>71</v>
      </c>
      <c r="H4" s="38" t="s">
        <v>49</v>
      </c>
      <c r="I4" s="48" t="s">
        <v>50</v>
      </c>
      <c r="J4" s="49"/>
      <c r="K4" s="49"/>
      <c r="L4" s="49"/>
      <c r="M4" s="50"/>
      <c r="N4" s="38" t="s">
        <v>70</v>
      </c>
      <c r="O4" s="37" t="s">
        <v>46</v>
      </c>
      <c r="P4" s="37" t="s">
        <v>73</v>
      </c>
      <c r="Q4" s="37" t="s">
        <v>74</v>
      </c>
      <c r="R4" s="51" t="s">
        <v>48</v>
      </c>
    </row>
    <row r="5" spans="1:18" ht="77.25" customHeight="1">
      <c r="A5" s="80"/>
      <c r="B5" s="81"/>
      <c r="C5" s="54"/>
      <c r="D5" s="39"/>
      <c r="E5" s="39"/>
      <c r="F5" s="39"/>
      <c r="G5" s="39"/>
      <c r="H5" s="55"/>
      <c r="I5" s="37" t="s">
        <v>52</v>
      </c>
      <c r="J5" s="37" t="s">
        <v>51</v>
      </c>
      <c r="K5" s="37" t="s">
        <v>75</v>
      </c>
      <c r="L5" s="37" t="s">
        <v>68</v>
      </c>
      <c r="M5" s="56" t="s">
        <v>53</v>
      </c>
      <c r="N5" s="39"/>
      <c r="O5" s="37"/>
      <c r="P5" s="37"/>
      <c r="Q5" s="37"/>
      <c r="R5" s="34" t="s">
        <v>44</v>
      </c>
    </row>
    <row r="6" spans="1:18" ht="51" customHeight="1">
      <c r="A6" s="34" t="s">
        <v>5</v>
      </c>
      <c r="B6" s="57" t="s">
        <v>6</v>
      </c>
      <c r="C6" s="58"/>
      <c r="D6" s="40"/>
      <c r="E6" s="40"/>
      <c r="F6" s="40"/>
      <c r="G6" s="40"/>
      <c r="H6" s="59"/>
      <c r="I6" s="37"/>
      <c r="J6" s="37"/>
      <c r="K6" s="37"/>
      <c r="L6" s="37"/>
      <c r="M6" s="56"/>
      <c r="N6" s="40"/>
      <c r="O6" s="37"/>
      <c r="P6" s="37"/>
      <c r="Q6" s="37"/>
      <c r="R6" s="34" t="s">
        <v>67</v>
      </c>
    </row>
    <row r="7" spans="1:18" ht="12.75" customHeight="1">
      <c r="A7" s="60">
        <v>1</v>
      </c>
      <c r="B7" s="32">
        <v>2</v>
      </c>
      <c r="C7" s="61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61">
        <v>13</v>
      </c>
      <c r="N7" s="32"/>
      <c r="O7" s="32">
        <v>14</v>
      </c>
      <c r="P7" s="32">
        <v>15</v>
      </c>
      <c r="Q7" s="32">
        <v>16</v>
      </c>
      <c r="R7" s="62">
        <v>16</v>
      </c>
    </row>
    <row r="8" spans="1:18" ht="12.75">
      <c r="A8" s="1" t="s">
        <v>8</v>
      </c>
      <c r="B8" s="5">
        <v>6</v>
      </c>
      <c r="C8" s="11">
        <v>712.7</v>
      </c>
      <c r="D8" s="4">
        <v>89800.2</v>
      </c>
      <c r="E8" s="4">
        <v>75346.99</v>
      </c>
      <c r="F8" s="7">
        <f>E8*100/D8</f>
        <v>83.90514720457195</v>
      </c>
      <c r="G8" s="4">
        <f>H8+O8+P8+Q8</f>
        <v>70356.94112572391</v>
      </c>
      <c r="H8" s="4">
        <f>I8+J8+K8+L8+M8</f>
        <v>49153.1</v>
      </c>
      <c r="I8" s="4">
        <v>0</v>
      </c>
      <c r="J8" s="4">
        <v>405.75</v>
      </c>
      <c r="K8" s="4"/>
      <c r="L8" s="4">
        <f>5646.96+342.11</f>
        <v>5989.07</v>
      </c>
      <c r="M8" s="4">
        <v>42758.28</v>
      </c>
      <c r="N8" s="15">
        <v>2.35</v>
      </c>
      <c r="O8" s="14">
        <f>N8*C8*12</f>
        <v>20098.140000000003</v>
      </c>
      <c r="P8" s="4">
        <f>201520.57/178236.42*C8</f>
        <v>805.8045052689008</v>
      </c>
      <c r="Q8" s="4">
        <f>C8*75000/178236.42</f>
        <v>299.8966204550114</v>
      </c>
      <c r="R8" s="4">
        <v>84061.72</v>
      </c>
    </row>
    <row r="9" spans="1:18" ht="12.75">
      <c r="A9" s="1"/>
      <c r="B9" s="5"/>
      <c r="C9" s="11"/>
      <c r="D9" s="4"/>
      <c r="E9" s="4"/>
      <c r="F9" s="7"/>
      <c r="G9" s="4"/>
      <c r="H9" s="4"/>
      <c r="I9" s="4"/>
      <c r="J9" s="4"/>
      <c r="K9" s="4"/>
      <c r="L9" s="4"/>
      <c r="M9" s="4"/>
      <c r="N9" s="15"/>
      <c r="O9" s="14"/>
      <c r="P9" s="14"/>
      <c r="Q9" s="4"/>
      <c r="R9" s="4"/>
    </row>
    <row r="10" spans="1:18" ht="12.75">
      <c r="A10" s="33" t="s">
        <v>8</v>
      </c>
      <c r="B10" s="63">
        <v>13</v>
      </c>
      <c r="C10" s="11">
        <v>1769.9</v>
      </c>
      <c r="D10" s="4">
        <v>223007.4</v>
      </c>
      <c r="E10" s="4">
        <v>205602.54</v>
      </c>
      <c r="F10" s="7">
        <f>E10*100/D10</f>
        <v>92.19538903193347</v>
      </c>
      <c r="G10" s="4">
        <f>H10+O10+P10+Q10</f>
        <v>191844.44841927706</v>
      </c>
      <c r="H10" s="4">
        <f aca="true" t="shared" si="0" ref="H10:H72">I10+J10+K10+L10+M10</f>
        <v>139187.4</v>
      </c>
      <c r="I10" s="4">
        <v>840.42</v>
      </c>
      <c r="J10" s="4">
        <v>971.8</v>
      </c>
      <c r="K10" s="4"/>
      <c r="L10" s="4">
        <f>14017.56+849.58</f>
        <v>14867.14</v>
      </c>
      <c r="M10" s="4">
        <v>122508.04</v>
      </c>
      <c r="N10" s="15">
        <v>2.35</v>
      </c>
      <c r="O10" s="14">
        <f>N10*C10*12</f>
        <v>49911.18000000001</v>
      </c>
      <c r="P10" s="4">
        <f>201520.57/178236.42*C10</f>
        <v>2001.1132227801704</v>
      </c>
      <c r="Q10" s="4">
        <f>C10*75000/178236.42</f>
        <v>744.7551964968775</v>
      </c>
      <c r="R10" s="4">
        <v>38251.52</v>
      </c>
    </row>
    <row r="11" spans="1:18" ht="12.75">
      <c r="A11" s="1"/>
      <c r="B11" s="5"/>
      <c r="C11" s="11"/>
      <c r="D11" s="4"/>
      <c r="E11" s="4"/>
      <c r="F11" s="7"/>
      <c r="G11" s="4"/>
      <c r="H11" s="4"/>
      <c r="I11" s="4"/>
      <c r="J11" s="4"/>
      <c r="K11" s="4"/>
      <c r="L11" s="4"/>
      <c r="M11" s="4"/>
      <c r="N11" s="15"/>
      <c r="O11" s="14"/>
      <c r="P11" s="4"/>
      <c r="Q11" s="4"/>
      <c r="R11" s="4"/>
    </row>
    <row r="12" spans="1:18" ht="12.75">
      <c r="A12" s="1" t="s">
        <v>8</v>
      </c>
      <c r="B12" s="5">
        <v>15</v>
      </c>
      <c r="C12" s="11">
        <v>1148.1</v>
      </c>
      <c r="D12" s="4">
        <v>144660.6</v>
      </c>
      <c r="E12" s="4">
        <v>129368.17</v>
      </c>
      <c r="F12" s="7">
        <f>E12*100/D12</f>
        <v>89.4287525421573</v>
      </c>
      <c r="G12" s="4">
        <f>H12+O12+P12+Q12</f>
        <v>193500.5918934245</v>
      </c>
      <c r="H12" s="4">
        <f t="shared" si="0"/>
        <v>159342.98</v>
      </c>
      <c r="I12" s="4">
        <v>516.6</v>
      </c>
      <c r="J12" s="4">
        <v>664.8</v>
      </c>
      <c r="K12" s="4"/>
      <c r="L12" s="4">
        <f>5565.2+551.06+9093+5747.4</f>
        <v>20956.66</v>
      </c>
      <c r="M12" s="4">
        <v>137204.92</v>
      </c>
      <c r="N12" s="15">
        <v>2.35</v>
      </c>
      <c r="O12" s="14">
        <f>N12*C12*12</f>
        <v>32376.42</v>
      </c>
      <c r="P12" s="4">
        <f>201520.57/178236.42*C12</f>
        <v>1298.0835589998946</v>
      </c>
      <c r="Q12" s="4">
        <f aca="true" t="shared" si="1" ref="Q12:Q72">C12*75000/178236.42</f>
        <v>483.1083344245805</v>
      </c>
      <c r="R12" s="4">
        <v>90926.54</v>
      </c>
    </row>
    <row r="13" spans="1:18" ht="12.75">
      <c r="A13" s="1"/>
      <c r="B13" s="5"/>
      <c r="C13" s="11"/>
      <c r="D13" s="4"/>
      <c r="E13" s="4"/>
      <c r="F13" s="7"/>
      <c r="G13" s="4"/>
      <c r="H13" s="4"/>
      <c r="I13" s="4"/>
      <c r="J13" s="4"/>
      <c r="K13" s="4"/>
      <c r="L13" s="4"/>
      <c r="M13" s="4"/>
      <c r="N13" s="15"/>
      <c r="O13" s="14"/>
      <c r="P13" s="4"/>
      <c r="Q13" s="4"/>
      <c r="R13" s="4"/>
    </row>
    <row r="14" spans="1:18" ht="12.75">
      <c r="A14" s="1" t="s">
        <v>8</v>
      </c>
      <c r="B14" s="5" t="s">
        <v>9</v>
      </c>
      <c r="C14" s="11">
        <v>831.7</v>
      </c>
      <c r="D14" s="4">
        <v>104720.7</v>
      </c>
      <c r="E14" s="4">
        <v>95727.58</v>
      </c>
      <c r="F14" s="7">
        <f>E14*100/D14</f>
        <v>91.41228047558887</v>
      </c>
      <c r="G14" s="4">
        <f>H14+O14+P14+Q14</f>
        <v>73036.93078892182</v>
      </c>
      <c r="H14" s="4">
        <f t="shared" si="0"/>
        <v>48292.67</v>
      </c>
      <c r="I14" s="4">
        <v>866.6</v>
      </c>
      <c r="J14" s="4">
        <v>350.79</v>
      </c>
      <c r="K14" s="4"/>
      <c r="L14" s="4">
        <f>6574.44+398.88</f>
        <v>6973.32</v>
      </c>
      <c r="M14" s="4">
        <v>40101.96</v>
      </c>
      <c r="N14" s="15">
        <v>2.35</v>
      </c>
      <c r="O14" s="14">
        <f>N14*C14*12</f>
        <v>23453.940000000002</v>
      </c>
      <c r="P14" s="4">
        <f>201520.57/178236.42*C14</f>
        <v>940.350227349719</v>
      </c>
      <c r="Q14" s="4">
        <f t="shared" si="1"/>
        <v>349.9705615720962</v>
      </c>
      <c r="R14" s="4">
        <v>53827.77</v>
      </c>
    </row>
    <row r="15" spans="1:18" ht="12.75">
      <c r="A15" s="1"/>
      <c r="B15" s="5"/>
      <c r="C15" s="11"/>
      <c r="D15" s="4"/>
      <c r="E15" s="4"/>
      <c r="F15" s="7"/>
      <c r="G15" s="4"/>
      <c r="H15" s="4"/>
      <c r="I15" s="4"/>
      <c r="J15" s="4"/>
      <c r="K15" s="4"/>
      <c r="L15" s="4"/>
      <c r="M15" s="4"/>
      <c r="N15" s="15"/>
      <c r="O15" s="14"/>
      <c r="P15" s="4"/>
      <c r="Q15" s="4"/>
      <c r="R15" s="4"/>
    </row>
    <row r="16" spans="1:18" ht="12.75">
      <c r="A16" s="1" t="s">
        <v>8</v>
      </c>
      <c r="B16" s="5">
        <v>16</v>
      </c>
      <c r="C16" s="11">
        <v>551.6</v>
      </c>
      <c r="D16" s="4">
        <v>69254.68</v>
      </c>
      <c r="E16" s="4">
        <v>65809.26</v>
      </c>
      <c r="F16" s="7">
        <f>E16*100/D16</f>
        <v>95.02500047650209</v>
      </c>
      <c r="G16" s="4">
        <f>H16+O16+P16+Q16</f>
        <v>76741.54643882322</v>
      </c>
      <c r="H16" s="4">
        <f t="shared" si="0"/>
        <v>60330.66</v>
      </c>
      <c r="I16" s="4"/>
      <c r="J16" s="4">
        <v>424</v>
      </c>
      <c r="K16" s="4"/>
      <c r="L16" s="4">
        <f>264.74+4363.92</f>
        <v>4628.66</v>
      </c>
      <c r="M16" s="4">
        <v>55278</v>
      </c>
      <c r="N16" s="15">
        <v>2.35</v>
      </c>
      <c r="O16" s="14">
        <f>N16*C16*12</f>
        <v>15555.119999999999</v>
      </c>
      <c r="P16" s="4">
        <f>201520.57/178236.42*C16</f>
        <v>623.658994115793</v>
      </c>
      <c r="Q16" s="4">
        <f t="shared" si="1"/>
        <v>232.10744470742847</v>
      </c>
      <c r="R16" s="4">
        <v>23874.62</v>
      </c>
    </row>
    <row r="17" spans="1:18" ht="12.75">
      <c r="A17" s="1"/>
      <c r="B17" s="5"/>
      <c r="C17" s="11"/>
      <c r="D17" s="4"/>
      <c r="E17" s="4"/>
      <c r="F17" s="7"/>
      <c r="G17" s="4"/>
      <c r="H17" s="4"/>
      <c r="I17" s="4"/>
      <c r="J17" s="4"/>
      <c r="K17" s="4"/>
      <c r="L17" s="4"/>
      <c r="M17" s="4"/>
      <c r="N17" s="15"/>
      <c r="O17" s="14"/>
      <c r="P17" s="4"/>
      <c r="Q17" s="4"/>
      <c r="R17" s="4"/>
    </row>
    <row r="18" spans="1:18" ht="12.75">
      <c r="A18" s="1" t="s">
        <v>8</v>
      </c>
      <c r="B18" s="5">
        <v>17</v>
      </c>
      <c r="C18" s="11">
        <v>833.4</v>
      </c>
      <c r="D18" s="4">
        <v>105008.4</v>
      </c>
      <c r="E18" s="4">
        <v>95105.86</v>
      </c>
      <c r="F18" s="7">
        <f>E18*100/D18</f>
        <v>90.56976394269411</v>
      </c>
      <c r="G18" s="4">
        <f>H18+O18+P18+Q18</f>
        <v>175048.6782126818</v>
      </c>
      <c r="H18" s="4">
        <f t="shared" si="0"/>
        <v>150253.84000000003</v>
      </c>
      <c r="I18" s="4">
        <v>925.4</v>
      </c>
      <c r="J18" s="4">
        <v>499.92</v>
      </c>
      <c r="K18" s="4"/>
      <c r="L18" s="4">
        <f>6600.48+400.06</f>
        <v>7000.54</v>
      </c>
      <c r="M18" s="4">
        <v>141827.98</v>
      </c>
      <c r="N18" s="15">
        <v>2.35</v>
      </c>
      <c r="O18" s="14">
        <f>N18*C18*12</f>
        <v>23501.88</v>
      </c>
      <c r="P18" s="4">
        <f>201520.57/178236.42*C18</f>
        <v>942.2723090937307</v>
      </c>
      <c r="Q18" s="4">
        <f t="shared" si="1"/>
        <v>350.68590358805454</v>
      </c>
      <c r="R18" s="4">
        <v>55230.11</v>
      </c>
    </row>
    <row r="19" spans="1:18" ht="12.75">
      <c r="A19" s="1"/>
      <c r="B19" s="5"/>
      <c r="C19" s="11"/>
      <c r="D19" s="4"/>
      <c r="E19" s="4"/>
      <c r="F19" s="7"/>
      <c r="G19" s="4"/>
      <c r="H19" s="4"/>
      <c r="I19" s="4"/>
      <c r="J19" s="4"/>
      <c r="K19" s="4"/>
      <c r="L19" s="4"/>
      <c r="M19" s="4"/>
      <c r="N19" s="15"/>
      <c r="O19" s="14"/>
      <c r="P19" s="4"/>
      <c r="Q19" s="4"/>
      <c r="R19" s="4"/>
    </row>
    <row r="20" spans="1:18" ht="12.75">
      <c r="A20" s="1" t="s">
        <v>8</v>
      </c>
      <c r="B20" s="5" t="s">
        <v>10</v>
      </c>
      <c r="C20" s="11">
        <v>1327.5</v>
      </c>
      <c r="D20" s="4">
        <v>167265.11</v>
      </c>
      <c r="E20" s="4">
        <v>152673.59</v>
      </c>
      <c r="F20" s="7">
        <f>E20*100/D20</f>
        <v>91.27641144049707</v>
      </c>
      <c r="G20" s="4">
        <f>H20+O20+P20+Q20</f>
        <v>220329.21767138835</v>
      </c>
      <c r="H20" s="4">
        <f t="shared" si="0"/>
        <v>180834.19999999998</v>
      </c>
      <c r="I20" s="4">
        <v>589.4</v>
      </c>
      <c r="J20" s="4">
        <v>703.8</v>
      </c>
      <c r="K20" s="4"/>
      <c r="L20" s="4">
        <f>10514.64+6434.8+637.2+6646.4</f>
        <v>24233.04</v>
      </c>
      <c r="M20" s="4">
        <v>155307.96</v>
      </c>
      <c r="N20" s="15">
        <v>2.35</v>
      </c>
      <c r="O20" s="14">
        <f>N20*C20*12</f>
        <v>37435.5</v>
      </c>
      <c r="P20" s="4">
        <f>201520.57/178236.42*C20</f>
        <v>1500.9197148091282</v>
      </c>
      <c r="Q20" s="4">
        <f t="shared" si="1"/>
        <v>558.5979565792445</v>
      </c>
      <c r="R20" s="4">
        <v>80066.58</v>
      </c>
    </row>
    <row r="21" spans="1:18" ht="12.75">
      <c r="A21" s="1"/>
      <c r="B21" s="5"/>
      <c r="C21" s="11"/>
      <c r="D21" s="4"/>
      <c r="E21" s="4"/>
      <c r="F21" s="7"/>
      <c r="G21" s="4"/>
      <c r="H21" s="4"/>
      <c r="I21" s="4"/>
      <c r="J21" s="4"/>
      <c r="K21" s="4"/>
      <c r="L21" s="4"/>
      <c r="M21" s="4"/>
      <c r="N21" s="15"/>
      <c r="O21" s="14"/>
      <c r="P21" s="4"/>
      <c r="Q21" s="4"/>
      <c r="R21" s="4"/>
    </row>
    <row r="22" spans="1:18" ht="12.75">
      <c r="A22" s="1" t="s">
        <v>8</v>
      </c>
      <c r="B22" s="5">
        <v>49</v>
      </c>
      <c r="C22" s="11">
        <v>531.87</v>
      </c>
      <c r="D22" s="4">
        <v>45442.92</v>
      </c>
      <c r="E22" s="4">
        <v>42206.84</v>
      </c>
      <c r="F22" s="7">
        <f>E22*100/D22</f>
        <v>92.8788026825741</v>
      </c>
      <c r="G22" s="4">
        <f>H22+O22+P22+Q22</f>
        <v>41644.33280895016</v>
      </c>
      <c r="H22" s="4">
        <f t="shared" si="0"/>
        <v>31883.760000000002</v>
      </c>
      <c r="I22" s="4"/>
      <c r="J22" s="4"/>
      <c r="K22" s="4"/>
      <c r="L22" s="4">
        <f>255.36+4212.36</f>
        <v>4467.719999999999</v>
      </c>
      <c r="M22" s="4">
        <f>27416.04</f>
        <v>27416.04</v>
      </c>
      <c r="N22" s="15">
        <v>1.4</v>
      </c>
      <c r="O22" s="14">
        <f>N22*C22*12</f>
        <v>8935.416</v>
      </c>
      <c r="P22" s="4">
        <f>201520.57/178236.42*C22</f>
        <v>601.3515395220574</v>
      </c>
      <c r="Q22" s="4">
        <f t="shared" si="1"/>
        <v>223.80526942810002</v>
      </c>
      <c r="R22" s="4">
        <v>30162.96</v>
      </c>
    </row>
    <row r="23" spans="1:18" ht="12.75">
      <c r="A23" s="1"/>
      <c r="B23" s="5"/>
      <c r="C23" s="11"/>
      <c r="D23" s="4"/>
      <c r="E23" s="4"/>
      <c r="F23" s="7"/>
      <c r="G23" s="4"/>
      <c r="H23" s="4"/>
      <c r="I23" s="4"/>
      <c r="J23" s="4"/>
      <c r="K23" s="4"/>
      <c r="L23" s="4"/>
      <c r="M23" s="4"/>
      <c r="N23" s="15"/>
      <c r="O23" s="14"/>
      <c r="P23" s="4"/>
      <c r="Q23" s="4"/>
      <c r="R23" s="4"/>
    </row>
    <row r="24" spans="1:18" ht="12.75">
      <c r="A24" s="1" t="s">
        <v>8</v>
      </c>
      <c r="B24" s="5">
        <v>51</v>
      </c>
      <c r="C24" s="11">
        <v>843.6</v>
      </c>
      <c r="D24" s="4">
        <v>72076.92</v>
      </c>
      <c r="E24" s="4">
        <v>66541.95</v>
      </c>
      <c r="F24" s="7">
        <f>E24*100/D24</f>
        <v>92.32074567004251</v>
      </c>
      <c r="G24" s="4">
        <f>H24+O24+P24+Q24</f>
        <v>130512.5627552416</v>
      </c>
      <c r="H24" s="4">
        <f t="shared" si="0"/>
        <v>115031.3</v>
      </c>
      <c r="I24" s="4"/>
      <c r="J24" s="4">
        <v>460.92</v>
      </c>
      <c r="K24" s="4"/>
      <c r="L24" s="4">
        <f>404.9+6677.4</f>
        <v>7082.299999999999</v>
      </c>
      <c r="M24" s="4">
        <v>107488.08</v>
      </c>
      <c r="N24" s="15">
        <v>1.4</v>
      </c>
      <c r="O24" s="14">
        <f>N24*C24*12</f>
        <v>14172.48</v>
      </c>
      <c r="P24" s="4">
        <f>201520.57/178236.42*C24</f>
        <v>953.8047995578008</v>
      </c>
      <c r="Q24" s="4">
        <f t="shared" si="1"/>
        <v>354.9779556838047</v>
      </c>
      <c r="R24" s="4">
        <v>38961.77</v>
      </c>
    </row>
    <row r="25" spans="1:18" ht="12.75">
      <c r="A25" s="1"/>
      <c r="B25" s="5"/>
      <c r="C25" s="11"/>
      <c r="D25" s="4"/>
      <c r="E25" s="4"/>
      <c r="F25" s="7"/>
      <c r="G25" s="4"/>
      <c r="H25" s="4"/>
      <c r="I25" s="4"/>
      <c r="J25" s="4"/>
      <c r="K25" s="4"/>
      <c r="L25" s="4"/>
      <c r="M25" s="4"/>
      <c r="N25" s="15"/>
      <c r="O25" s="14"/>
      <c r="P25" s="4"/>
      <c r="Q25" s="4"/>
      <c r="R25" s="4"/>
    </row>
    <row r="26" spans="1:18" ht="12.75">
      <c r="A26" s="1" t="s">
        <v>8</v>
      </c>
      <c r="B26" s="5">
        <v>52</v>
      </c>
      <c r="C26" s="11">
        <v>846.3</v>
      </c>
      <c r="D26" s="4">
        <v>72282.28</v>
      </c>
      <c r="E26" s="4">
        <v>65325.56</v>
      </c>
      <c r="F26" s="7">
        <f>E26*100/D26</f>
        <v>90.37562179831627</v>
      </c>
      <c r="G26" s="4">
        <f>H26+O26+P26+Q26</f>
        <v>107288.75160474272</v>
      </c>
      <c r="H26" s="4">
        <f t="shared" si="0"/>
        <v>91757.93999999999</v>
      </c>
      <c r="I26" s="4"/>
      <c r="J26" s="4">
        <v>635.45</v>
      </c>
      <c r="K26" s="4"/>
      <c r="L26" s="4">
        <f>405.82+6695.52</f>
        <v>7101.34</v>
      </c>
      <c r="M26" s="4">
        <v>84021.15</v>
      </c>
      <c r="N26" s="15">
        <v>1.4</v>
      </c>
      <c r="O26" s="14">
        <f>N26*C26*12</f>
        <v>14217.84</v>
      </c>
      <c r="P26" s="4">
        <f>201520.57/178236.42*C26</f>
        <v>956.8575176218194</v>
      </c>
      <c r="Q26" s="4">
        <f t="shared" si="1"/>
        <v>356.114087120915</v>
      </c>
      <c r="R26" s="4">
        <v>67538.54</v>
      </c>
    </row>
    <row r="27" spans="1:18" ht="12.75">
      <c r="A27" s="1"/>
      <c r="B27" s="5"/>
      <c r="C27" s="11"/>
      <c r="D27" s="4"/>
      <c r="E27" s="4"/>
      <c r="F27" s="7"/>
      <c r="G27" s="4"/>
      <c r="H27" s="4"/>
      <c r="I27" s="4"/>
      <c r="J27" s="4"/>
      <c r="K27" s="4"/>
      <c r="L27" s="4"/>
      <c r="M27" s="4"/>
      <c r="N27" s="15"/>
      <c r="O27" s="14"/>
      <c r="P27" s="4"/>
      <c r="Q27" s="4"/>
      <c r="R27" s="4"/>
    </row>
    <row r="28" spans="1:18" ht="12.75">
      <c r="A28" s="1" t="s">
        <v>8</v>
      </c>
      <c r="B28" s="5">
        <v>53</v>
      </c>
      <c r="C28" s="11">
        <v>878.14</v>
      </c>
      <c r="D28" s="4">
        <v>75028.2</v>
      </c>
      <c r="E28" s="4">
        <v>67195.96</v>
      </c>
      <c r="F28" s="7">
        <f>E28*100/D28</f>
        <v>89.56093842048725</v>
      </c>
      <c r="G28" s="4">
        <f>H28+O28+P28+Q28</f>
        <v>60319.15100034123</v>
      </c>
      <c r="H28" s="4">
        <f t="shared" si="0"/>
        <v>44204.03</v>
      </c>
      <c r="I28" s="4"/>
      <c r="J28" s="4">
        <v>665.29</v>
      </c>
      <c r="K28" s="4"/>
      <c r="L28" s="4">
        <f>421.54+6955.2</f>
        <v>7376.74</v>
      </c>
      <c r="M28" s="4">
        <v>36162</v>
      </c>
      <c r="N28" s="15">
        <v>1.4</v>
      </c>
      <c r="O28" s="14">
        <f>N28*C28*12</f>
        <v>14752.752</v>
      </c>
      <c r="P28" s="4">
        <f>201520.57/178236.42*C28</f>
        <v>992.8569780508384</v>
      </c>
      <c r="Q28" s="4">
        <f t="shared" si="1"/>
        <v>369.5120222903938</v>
      </c>
      <c r="R28" s="4">
        <v>48803.2</v>
      </c>
    </row>
    <row r="29" spans="1:18" ht="12.75">
      <c r="A29" s="1"/>
      <c r="B29" s="5"/>
      <c r="C29" s="11"/>
      <c r="D29" s="4"/>
      <c r="E29" s="4"/>
      <c r="F29" s="7"/>
      <c r="G29" s="4"/>
      <c r="H29" s="4"/>
      <c r="I29" s="4"/>
      <c r="J29" s="4"/>
      <c r="K29" s="4"/>
      <c r="L29" s="4"/>
      <c r="M29" s="4"/>
      <c r="N29" s="15"/>
      <c r="O29" s="14"/>
      <c r="P29" s="4"/>
      <c r="Q29" s="4"/>
      <c r="R29" s="4"/>
    </row>
    <row r="30" spans="1:18" ht="12.75">
      <c r="A30" s="1" t="s">
        <v>8</v>
      </c>
      <c r="B30" s="5">
        <v>54</v>
      </c>
      <c r="C30" s="11">
        <v>832.8</v>
      </c>
      <c r="D30" s="4">
        <v>104932.8</v>
      </c>
      <c r="E30" s="4">
        <v>93514.51</v>
      </c>
      <c r="F30" s="7">
        <f>E30*100/D30</f>
        <v>89.11847391854596</v>
      </c>
      <c r="G30" s="4">
        <f>H30+O30+P30+Q30</f>
        <v>77318.04735723708</v>
      </c>
      <c r="H30" s="4">
        <f t="shared" si="0"/>
        <v>52541.06</v>
      </c>
      <c r="I30" s="4"/>
      <c r="J30" s="4">
        <v>465.29</v>
      </c>
      <c r="K30" s="4"/>
      <c r="L30" s="4">
        <f>6618+399.73</f>
        <v>7017.73</v>
      </c>
      <c r="M30" s="4">
        <v>45058.04</v>
      </c>
      <c r="N30" s="15">
        <v>2.35</v>
      </c>
      <c r="O30" s="14">
        <f>N30*C30*12</f>
        <v>23484.96</v>
      </c>
      <c r="P30" s="4">
        <f>201520.57/178236.42*C30</f>
        <v>941.5939273017266</v>
      </c>
      <c r="Q30" s="4">
        <f t="shared" si="1"/>
        <v>350.43342993536334</v>
      </c>
      <c r="R30" s="4">
        <v>61983.06</v>
      </c>
    </row>
    <row r="31" spans="1:18" ht="12.75">
      <c r="A31" s="1"/>
      <c r="B31" s="5"/>
      <c r="C31" s="11"/>
      <c r="D31" s="4"/>
      <c r="E31" s="4"/>
      <c r="F31" s="7"/>
      <c r="G31" s="4"/>
      <c r="H31" s="4"/>
      <c r="I31" s="4"/>
      <c r="J31" s="4"/>
      <c r="K31" s="4"/>
      <c r="L31" s="4"/>
      <c r="M31" s="4"/>
      <c r="N31" s="15"/>
      <c r="O31" s="14"/>
      <c r="P31" s="4"/>
      <c r="Q31" s="4"/>
      <c r="R31" s="4"/>
    </row>
    <row r="32" spans="1:18" ht="12.75">
      <c r="A32" s="1" t="s">
        <v>8</v>
      </c>
      <c r="B32" s="5">
        <v>55</v>
      </c>
      <c r="C32" s="11">
        <v>846.8</v>
      </c>
      <c r="D32" s="4">
        <v>72363.45</v>
      </c>
      <c r="E32" s="4">
        <v>65507.57</v>
      </c>
      <c r="F32" s="7">
        <f>E32*100/D32</f>
        <v>90.5257695701352</v>
      </c>
      <c r="G32" s="4">
        <f>H32+O32+P32+Q32</f>
        <v>96097.4973176133</v>
      </c>
      <c r="H32" s="4">
        <f t="shared" si="0"/>
        <v>80557.51</v>
      </c>
      <c r="I32" s="4"/>
      <c r="J32" s="4">
        <v>474.45</v>
      </c>
      <c r="K32" s="4"/>
      <c r="L32" s="4">
        <f>6711.36+406.78</f>
        <v>7118.139999999999</v>
      </c>
      <c r="M32" s="4">
        <v>72964.92</v>
      </c>
      <c r="N32" s="15">
        <v>1.4</v>
      </c>
      <c r="O32" s="14">
        <f>N32*C32*12</f>
        <v>14226.239999999998</v>
      </c>
      <c r="P32" s="4">
        <f>201520.57/178236.42*C32</f>
        <v>957.4228357818228</v>
      </c>
      <c r="Q32" s="4">
        <f t="shared" si="1"/>
        <v>356.32448183149097</v>
      </c>
      <c r="R32" s="4">
        <v>51156.79</v>
      </c>
    </row>
    <row r="33" spans="1:18" ht="12.75">
      <c r="A33" s="1"/>
      <c r="B33" s="5"/>
      <c r="C33" s="11"/>
      <c r="D33" s="4"/>
      <c r="E33" s="4"/>
      <c r="F33" s="7"/>
      <c r="G33" s="4"/>
      <c r="H33" s="4"/>
      <c r="I33" s="4"/>
      <c r="J33" s="4"/>
      <c r="K33" s="4"/>
      <c r="L33" s="4"/>
      <c r="M33" s="4"/>
      <c r="N33" s="15"/>
      <c r="O33" s="14"/>
      <c r="P33" s="4"/>
      <c r="Q33" s="4"/>
      <c r="R33" s="4"/>
    </row>
    <row r="34" spans="1:18" ht="12.75">
      <c r="A34" s="1" t="s">
        <v>8</v>
      </c>
      <c r="B34" s="5">
        <v>56</v>
      </c>
      <c r="C34" s="11">
        <v>839</v>
      </c>
      <c r="D34" s="4">
        <v>105829.5</v>
      </c>
      <c r="E34" s="4">
        <v>91616.88</v>
      </c>
      <c r="F34" s="7">
        <f>E34*100/D34</f>
        <v>86.57026632460703</v>
      </c>
      <c r="G34" s="4">
        <f>H34+O34+P34+Q34</f>
        <v>94039.49619683228</v>
      </c>
      <c r="H34" s="4">
        <f t="shared" si="0"/>
        <v>69078.05</v>
      </c>
      <c r="I34" s="4"/>
      <c r="J34" s="4">
        <v>474.45</v>
      </c>
      <c r="K34" s="4"/>
      <c r="L34" s="4">
        <f>6650.4+403.2</f>
        <v>7053.599999999999</v>
      </c>
      <c r="M34" s="4">
        <f>61550</f>
        <v>61550</v>
      </c>
      <c r="N34" s="15">
        <v>2.35</v>
      </c>
      <c r="O34" s="14">
        <f>N34*C34*12</f>
        <v>23659.800000000003</v>
      </c>
      <c r="P34" s="4">
        <f>201520.57/178236.42*C34</f>
        <v>948.6038724857692</v>
      </c>
      <c r="Q34" s="4">
        <f t="shared" si="1"/>
        <v>353.0423243465056</v>
      </c>
      <c r="R34" s="4">
        <v>71340.69</v>
      </c>
    </row>
    <row r="35" spans="1:18" ht="12.75">
      <c r="A35" s="1"/>
      <c r="B35" s="5"/>
      <c r="C35" s="11"/>
      <c r="D35" s="4"/>
      <c r="E35" s="4"/>
      <c r="F35" s="7"/>
      <c r="G35" s="4"/>
      <c r="H35" s="4"/>
      <c r="I35" s="4"/>
      <c r="J35" s="4"/>
      <c r="K35" s="4"/>
      <c r="L35" s="4"/>
      <c r="M35" s="4"/>
      <c r="N35" s="15"/>
      <c r="O35" s="14"/>
      <c r="P35" s="4"/>
      <c r="Q35" s="4"/>
      <c r="R35" s="4"/>
    </row>
    <row r="36" spans="1:18" ht="12.75">
      <c r="A36" s="1" t="s">
        <v>8</v>
      </c>
      <c r="B36" s="5">
        <v>57</v>
      </c>
      <c r="C36" s="11">
        <v>821.52</v>
      </c>
      <c r="D36" s="4">
        <v>70190.52</v>
      </c>
      <c r="E36" s="4">
        <v>62678.62</v>
      </c>
      <c r="F36" s="7">
        <f>E36*100/D36</f>
        <v>89.29784250066818</v>
      </c>
      <c r="G36" s="4">
        <f>H36+O36+P36+Q36</f>
        <v>65816.97327487681</v>
      </c>
      <c r="H36" s="4">
        <f t="shared" si="0"/>
        <v>50740.909999999996</v>
      </c>
      <c r="I36" s="4"/>
      <c r="J36" s="4">
        <v>460.92</v>
      </c>
      <c r="K36" s="4"/>
      <c r="L36" s="4">
        <f>394.32+6506.4</f>
        <v>6900.719999999999</v>
      </c>
      <c r="M36" s="4">
        <f>42792.42+399.29+187.56</f>
        <v>43379.27</v>
      </c>
      <c r="N36" s="15">
        <v>1.4</v>
      </c>
      <c r="O36" s="14">
        <f>N36*C36*12</f>
        <v>13801.536</v>
      </c>
      <c r="P36" s="4">
        <f>201520.57/178236.42*C36</f>
        <v>928.840349612049</v>
      </c>
      <c r="Q36" s="4">
        <f t="shared" si="1"/>
        <v>345.6869252647691</v>
      </c>
      <c r="R36" s="4">
        <v>61894.57</v>
      </c>
    </row>
    <row r="37" spans="1:18" ht="12.75">
      <c r="A37" s="1"/>
      <c r="B37" s="5"/>
      <c r="C37" s="11"/>
      <c r="D37" s="4"/>
      <c r="E37" s="4"/>
      <c r="F37" s="7"/>
      <c r="G37" s="4"/>
      <c r="H37" s="4"/>
      <c r="I37" s="4"/>
      <c r="J37" s="4"/>
      <c r="K37" s="4"/>
      <c r="L37" s="4"/>
      <c r="M37" s="4"/>
      <c r="N37" s="15"/>
      <c r="O37" s="14"/>
      <c r="P37" s="4"/>
      <c r="Q37" s="4"/>
      <c r="R37" s="4"/>
    </row>
    <row r="38" spans="1:18" ht="12.75">
      <c r="A38" s="1" t="s">
        <v>8</v>
      </c>
      <c r="B38" s="5" t="s">
        <v>11</v>
      </c>
      <c r="C38" s="11">
        <v>837.8</v>
      </c>
      <c r="D38" s="4">
        <v>71587.28</v>
      </c>
      <c r="E38" s="4">
        <v>66046.89</v>
      </c>
      <c r="F38" s="7">
        <f>E38*100/D38</f>
        <v>92.26065021607191</v>
      </c>
      <c r="G38" s="4">
        <f>H38+O38+P38+Q38</f>
        <v>69512.11448594289</v>
      </c>
      <c r="H38" s="4">
        <f t="shared" si="0"/>
        <v>54137.29</v>
      </c>
      <c r="I38" s="4"/>
      <c r="J38" s="4">
        <v>407.97</v>
      </c>
      <c r="K38" s="4"/>
      <c r="L38" s="4">
        <f>6632.16+402.24</f>
        <v>7034.4</v>
      </c>
      <c r="M38" s="4">
        <v>46694.92</v>
      </c>
      <c r="N38" s="15">
        <v>1.4</v>
      </c>
      <c r="O38" s="14">
        <f>N38*C38*12</f>
        <v>14075.039999999997</v>
      </c>
      <c r="P38" s="4">
        <f>201520.57/178236.42*C38</f>
        <v>947.247108901761</v>
      </c>
      <c r="Q38" s="4">
        <f t="shared" si="1"/>
        <v>352.5373770411232</v>
      </c>
      <c r="R38" s="4">
        <v>54104.24</v>
      </c>
    </row>
    <row r="39" spans="1:18" ht="12.75">
      <c r="A39" s="1"/>
      <c r="B39" s="5"/>
      <c r="C39" s="11"/>
      <c r="D39" s="4"/>
      <c r="E39" s="4"/>
      <c r="F39" s="7"/>
      <c r="G39" s="4"/>
      <c r="H39" s="4"/>
      <c r="I39" s="4"/>
      <c r="J39" s="4"/>
      <c r="K39" s="4"/>
      <c r="L39" s="4"/>
      <c r="M39" s="4"/>
      <c r="N39" s="15"/>
      <c r="O39" s="14"/>
      <c r="P39" s="4"/>
      <c r="Q39" s="4"/>
      <c r="R39" s="4"/>
    </row>
    <row r="40" spans="1:18" ht="12.75">
      <c r="A40" s="1" t="s">
        <v>8</v>
      </c>
      <c r="B40" s="5">
        <v>58</v>
      </c>
      <c r="C40" s="11">
        <v>847.09</v>
      </c>
      <c r="D40" s="4">
        <v>106841.6</v>
      </c>
      <c r="E40" s="4">
        <v>98017.91</v>
      </c>
      <c r="F40" s="7">
        <f>E40*100/D40</f>
        <v>91.74133483586917</v>
      </c>
      <c r="G40" s="4">
        <f>H40+O40+P40+Q40</f>
        <v>112138.30523107825</v>
      </c>
      <c r="H40" s="4">
        <f t="shared" si="0"/>
        <v>86936.17</v>
      </c>
      <c r="I40" s="4"/>
      <c r="J40" s="4">
        <v>474.45</v>
      </c>
      <c r="K40" s="4"/>
      <c r="L40" s="4">
        <f>6739.32+407.07</f>
        <v>7146.389999999999</v>
      </c>
      <c r="M40" s="4">
        <v>79315.33</v>
      </c>
      <c r="N40" s="15">
        <v>2.35</v>
      </c>
      <c r="O40" s="14">
        <f>N40*C40*12</f>
        <v>23887.938000000002</v>
      </c>
      <c r="P40" s="4">
        <f>201520.57/178236.42*C40</f>
        <v>957.7507203146249</v>
      </c>
      <c r="Q40" s="4">
        <f t="shared" si="1"/>
        <v>356.44651076362504</v>
      </c>
      <c r="R40" s="4">
        <v>57322.96</v>
      </c>
    </row>
    <row r="41" spans="1:18" ht="12.75">
      <c r="A41" s="1"/>
      <c r="B41" s="5"/>
      <c r="C41" s="11"/>
      <c r="D41" s="4"/>
      <c r="E41" s="4"/>
      <c r="F41" s="7"/>
      <c r="G41" s="4"/>
      <c r="H41" s="4"/>
      <c r="I41" s="4"/>
      <c r="J41" s="4"/>
      <c r="K41" s="4"/>
      <c r="L41" s="4"/>
      <c r="M41" s="4"/>
      <c r="N41" s="15"/>
      <c r="O41" s="14"/>
      <c r="P41" s="4"/>
      <c r="Q41" s="4"/>
      <c r="R41" s="4"/>
    </row>
    <row r="42" spans="1:18" ht="12.75">
      <c r="A42" s="1" t="s">
        <v>8</v>
      </c>
      <c r="B42" s="5">
        <v>59</v>
      </c>
      <c r="C42" s="11">
        <v>844.4</v>
      </c>
      <c r="D42" s="4">
        <v>106394.4</v>
      </c>
      <c r="E42" s="4">
        <v>98455.4</v>
      </c>
      <c r="F42" s="7">
        <f>E42*100/D42</f>
        <v>92.53814110517095</v>
      </c>
      <c r="G42" s="4">
        <f>H42+O42+P42+Q42</f>
        <v>108178.78389583452</v>
      </c>
      <c r="H42" s="4">
        <f t="shared" si="0"/>
        <v>83056.68</v>
      </c>
      <c r="I42" s="4"/>
      <c r="J42" s="4">
        <v>476.74</v>
      </c>
      <c r="K42" s="4"/>
      <c r="L42" s="4">
        <f>405.34+6687.6</f>
        <v>7092.9400000000005</v>
      </c>
      <c r="M42" s="4">
        <v>75487</v>
      </c>
      <c r="N42" s="15">
        <v>2.35</v>
      </c>
      <c r="O42" s="14">
        <f>N42*C42*12</f>
        <v>23812.079999999998</v>
      </c>
      <c r="P42" s="4">
        <f>201520.57/178236.42*C42</f>
        <v>954.7093086138063</v>
      </c>
      <c r="Q42" s="4">
        <f t="shared" si="1"/>
        <v>355.31458722072625</v>
      </c>
      <c r="R42" s="4">
        <v>51340.83</v>
      </c>
    </row>
    <row r="43" spans="1:18" ht="12.75">
      <c r="A43" s="1"/>
      <c r="B43" s="5"/>
      <c r="C43" s="11"/>
      <c r="D43" s="4"/>
      <c r="E43" s="4"/>
      <c r="F43" s="7"/>
      <c r="G43" s="4"/>
      <c r="H43" s="4"/>
      <c r="I43" s="4"/>
      <c r="J43" s="4"/>
      <c r="K43" s="4"/>
      <c r="L43" s="4"/>
      <c r="M43" s="4"/>
      <c r="N43" s="15"/>
      <c r="O43" s="14"/>
      <c r="P43" s="4"/>
      <c r="Q43" s="4"/>
      <c r="R43" s="4"/>
    </row>
    <row r="44" spans="1:18" ht="12.75">
      <c r="A44" s="1" t="s">
        <v>8</v>
      </c>
      <c r="B44" s="5" t="s">
        <v>12</v>
      </c>
      <c r="C44" s="11">
        <v>1140.91</v>
      </c>
      <c r="D44" s="4">
        <v>97897.83</v>
      </c>
      <c r="E44" s="4">
        <v>87065.16</v>
      </c>
      <c r="F44" s="7">
        <f>E44*100/D44</f>
        <v>88.93471898202442</v>
      </c>
      <c r="G44" s="4">
        <f>H44+O44+P44+Q44</f>
        <v>94878.44514234553</v>
      </c>
      <c r="H44" s="4">
        <f t="shared" si="0"/>
        <v>73941.12</v>
      </c>
      <c r="I44" s="4">
        <v>1106</v>
      </c>
      <c r="J44" s="4">
        <v>0</v>
      </c>
      <c r="K44" s="4">
        <v>0</v>
      </c>
      <c r="L44" s="4">
        <f>9168.24+1172.45+553.33+3232.78</f>
        <v>14126.800000000001</v>
      </c>
      <c r="M44" s="4">
        <f>57497.88+560.32+650.12</f>
        <v>58708.32</v>
      </c>
      <c r="N44" s="15">
        <v>1.4</v>
      </c>
      <c r="O44" s="14">
        <f>N44*C44*12</f>
        <v>19167.288</v>
      </c>
      <c r="P44" s="4">
        <f>201520.57/178236.42*C44</f>
        <v>1289.9542838590453</v>
      </c>
      <c r="Q44" s="4">
        <f t="shared" si="1"/>
        <v>480.08285848649786</v>
      </c>
      <c r="R44" s="4">
        <v>111133.85</v>
      </c>
    </row>
    <row r="45" spans="1:18" ht="12.75">
      <c r="A45" s="1"/>
      <c r="B45" s="5"/>
      <c r="C45" s="11"/>
      <c r="D45" s="4"/>
      <c r="E45" s="4"/>
      <c r="F45" s="7"/>
      <c r="G45" s="4"/>
      <c r="H45" s="4"/>
      <c r="I45" s="4"/>
      <c r="J45" s="4"/>
      <c r="K45" s="4"/>
      <c r="L45" s="4"/>
      <c r="M45" s="4"/>
      <c r="N45" s="15"/>
      <c r="O45" s="14"/>
      <c r="P45" s="4"/>
      <c r="Q45" s="4"/>
      <c r="R45" s="4"/>
    </row>
    <row r="46" spans="1:18" ht="12.75">
      <c r="A46" s="1" t="s">
        <v>8</v>
      </c>
      <c r="B46" s="5">
        <v>60</v>
      </c>
      <c r="C46" s="11">
        <v>620.2</v>
      </c>
      <c r="D46" s="4">
        <v>76766.22</v>
      </c>
      <c r="E46" s="4">
        <v>71974.17</v>
      </c>
      <c r="F46" s="7">
        <f>E46*100/D46</f>
        <v>93.75760588446325</v>
      </c>
      <c r="G46" s="4">
        <f>H46+O46+P46+Q46</f>
        <v>86933.5142446667</v>
      </c>
      <c r="H46" s="4">
        <f t="shared" si="0"/>
        <v>68481.68</v>
      </c>
      <c r="I46" s="4"/>
      <c r="J46" s="4">
        <v>357.66</v>
      </c>
      <c r="K46" s="4"/>
      <c r="L46" s="4">
        <f>4915.2+297.86</f>
        <v>5213.0599999999995</v>
      </c>
      <c r="M46" s="4">
        <v>62910.96</v>
      </c>
      <c r="N46" s="15">
        <v>2.35</v>
      </c>
      <c r="O46" s="14">
        <f>N46*C46*12</f>
        <v>17489.640000000003</v>
      </c>
      <c r="P46" s="4">
        <f>201520.57/178236.42*C46</f>
        <v>701.2206456682648</v>
      </c>
      <c r="Q46" s="4">
        <f t="shared" si="1"/>
        <v>260.97359899845384</v>
      </c>
      <c r="R46" s="4">
        <v>30640.52</v>
      </c>
    </row>
    <row r="47" spans="1:18" ht="12.75">
      <c r="A47" s="1"/>
      <c r="B47" s="5"/>
      <c r="C47" s="11"/>
      <c r="D47" s="4"/>
      <c r="E47" s="4"/>
      <c r="F47" s="7"/>
      <c r="G47" s="4"/>
      <c r="H47" s="4"/>
      <c r="I47" s="4"/>
      <c r="J47" s="4"/>
      <c r="K47" s="4"/>
      <c r="L47" s="4"/>
      <c r="M47" s="4"/>
      <c r="N47" s="15"/>
      <c r="O47" s="14"/>
      <c r="P47" s="4"/>
      <c r="Q47" s="4"/>
      <c r="R47" s="4"/>
    </row>
    <row r="48" spans="1:18" ht="12.75">
      <c r="A48" s="1" t="s">
        <v>8</v>
      </c>
      <c r="B48" s="5">
        <v>61</v>
      </c>
      <c r="C48" s="11">
        <v>1303</v>
      </c>
      <c r="D48" s="4">
        <v>148376.67</v>
      </c>
      <c r="E48" s="4">
        <v>133589.37</v>
      </c>
      <c r="F48" s="7">
        <f>E48*100/D48</f>
        <v>90.033945363513</v>
      </c>
      <c r="G48" s="4">
        <f>H48+O48+P48+Q48</f>
        <v>145508.39774073</v>
      </c>
      <c r="H48" s="4">
        <f t="shared" si="0"/>
        <v>110494.93000000001</v>
      </c>
      <c r="I48" s="4">
        <v>989.8</v>
      </c>
      <c r="J48" s="4">
        <v>793.18</v>
      </c>
      <c r="K48" s="4"/>
      <c r="L48" s="4">
        <f>10319.76+625.44+1332.01+3672.78</f>
        <v>15949.990000000002</v>
      </c>
      <c r="M48" s="4">
        <v>92761.96</v>
      </c>
      <c r="N48" s="15">
        <v>2.11</v>
      </c>
      <c r="O48" s="14">
        <f>N48*C48*12</f>
        <v>32991.96</v>
      </c>
      <c r="P48" s="4">
        <f>201520.57/178236.42*C48</f>
        <v>1473.21912496896</v>
      </c>
      <c r="Q48" s="4">
        <f t="shared" si="1"/>
        <v>548.2886157610212</v>
      </c>
      <c r="R48" s="4">
        <v>66832.47</v>
      </c>
    </row>
    <row r="49" spans="1:18" ht="12.75">
      <c r="A49" s="1"/>
      <c r="B49" s="5"/>
      <c r="C49" s="11"/>
      <c r="D49" s="4"/>
      <c r="E49" s="4"/>
      <c r="F49" s="7"/>
      <c r="G49" s="4"/>
      <c r="H49" s="4"/>
      <c r="I49" s="4"/>
      <c r="J49" s="4"/>
      <c r="K49" s="4"/>
      <c r="L49" s="4"/>
      <c r="M49" s="4"/>
      <c r="N49" s="15"/>
      <c r="O49" s="14"/>
      <c r="P49" s="4"/>
      <c r="Q49" s="4"/>
      <c r="R49" s="4"/>
    </row>
    <row r="50" spans="1:18" ht="12.75">
      <c r="A50" s="1" t="s">
        <v>8</v>
      </c>
      <c r="B50" s="5">
        <v>62</v>
      </c>
      <c r="C50" s="11">
        <v>860.6</v>
      </c>
      <c r="D50" s="4">
        <v>107039.82</v>
      </c>
      <c r="E50" s="4">
        <v>87585.15</v>
      </c>
      <c r="F50" s="7">
        <f>E50*100/D50</f>
        <v>81.824829301843</v>
      </c>
      <c r="G50" s="4">
        <f>H50+O50+P50+Q50</f>
        <v>121657.03699284128</v>
      </c>
      <c r="H50" s="4">
        <f t="shared" si="0"/>
        <v>96052.95999999999</v>
      </c>
      <c r="I50" s="4"/>
      <c r="J50" s="4">
        <v>401.31</v>
      </c>
      <c r="K50" s="4"/>
      <c r="L50" s="4">
        <f>413.02+6814.32</f>
        <v>7227.34</v>
      </c>
      <c r="M50" s="4">
        <v>88424.31</v>
      </c>
      <c r="N50" s="15">
        <v>2.35</v>
      </c>
      <c r="O50" s="14">
        <f>N50*C50*12</f>
        <v>24268.920000000002</v>
      </c>
      <c r="P50" s="4">
        <f>201520.57/178236.42*C50</f>
        <v>973.0256169979177</v>
      </c>
      <c r="Q50" s="4">
        <f t="shared" si="1"/>
        <v>362.1313758433882</v>
      </c>
      <c r="R50" s="4">
        <v>102234.53</v>
      </c>
    </row>
    <row r="51" spans="1:18" ht="12.75">
      <c r="A51" s="1"/>
      <c r="B51" s="5"/>
      <c r="C51" s="11"/>
      <c r="D51" s="4"/>
      <c r="E51" s="4"/>
      <c r="F51" s="7"/>
      <c r="G51" s="4"/>
      <c r="H51" s="4"/>
      <c r="I51" s="4"/>
      <c r="J51" s="4"/>
      <c r="K51" s="4"/>
      <c r="L51" s="4"/>
      <c r="M51" s="4"/>
      <c r="N51" s="15"/>
      <c r="O51" s="14"/>
      <c r="P51" s="4"/>
      <c r="Q51" s="4"/>
      <c r="R51" s="4"/>
    </row>
    <row r="52" spans="1:18" ht="12.75">
      <c r="A52" s="1" t="s">
        <v>1</v>
      </c>
      <c r="B52" s="5" t="s">
        <v>7</v>
      </c>
      <c r="C52" s="11">
        <v>1238.95</v>
      </c>
      <c r="D52" s="4">
        <v>104696.78</v>
      </c>
      <c r="E52" s="4">
        <v>86954.65</v>
      </c>
      <c r="F52" s="7">
        <f>E52*100/D52</f>
        <v>83.05379592380969</v>
      </c>
      <c r="G52" s="4">
        <f>H52+O52+P52+Q52</f>
        <v>120457.94892200876</v>
      </c>
      <c r="H52" s="4">
        <f t="shared" si="0"/>
        <v>97721.45</v>
      </c>
      <c r="I52" s="4"/>
      <c r="J52" s="4"/>
      <c r="K52" s="4"/>
      <c r="L52" s="4">
        <f>9757.8+587.53</f>
        <v>10345.33</v>
      </c>
      <c r="M52" s="4">
        <f>87376.12</f>
        <v>87376.12</v>
      </c>
      <c r="N52" s="15">
        <v>1.4</v>
      </c>
      <c r="O52" s="14">
        <f>N52*C52*12</f>
        <v>20814.36</v>
      </c>
      <c r="P52" s="4">
        <f>201520.57/178236.42*C52</f>
        <v>1400.8018686725195</v>
      </c>
      <c r="Q52" s="4">
        <f t="shared" si="1"/>
        <v>521.3370533362373</v>
      </c>
      <c r="R52" s="4">
        <v>182302.72</v>
      </c>
    </row>
    <row r="53" spans="1:18" ht="12.75">
      <c r="A53" s="1"/>
      <c r="B53" s="5"/>
      <c r="C53" s="11"/>
      <c r="D53" s="4"/>
      <c r="E53" s="4"/>
      <c r="F53" s="7"/>
      <c r="G53" s="4"/>
      <c r="H53" s="4"/>
      <c r="I53" s="4"/>
      <c r="J53" s="4"/>
      <c r="K53" s="4"/>
      <c r="L53" s="4"/>
      <c r="M53" s="4"/>
      <c r="N53" s="15"/>
      <c r="O53" s="14"/>
      <c r="P53" s="4"/>
      <c r="Q53" s="4"/>
      <c r="R53" s="4"/>
    </row>
    <row r="54" spans="1:18" ht="12.75">
      <c r="A54" s="1" t="s">
        <v>8</v>
      </c>
      <c r="B54" s="5">
        <v>63</v>
      </c>
      <c r="C54" s="11">
        <v>2227.76</v>
      </c>
      <c r="D54" s="4">
        <v>281401</v>
      </c>
      <c r="E54" s="4">
        <v>258714</v>
      </c>
      <c r="F54" s="7">
        <f>E54*100/D54</f>
        <v>91.93783959545276</v>
      </c>
      <c r="G54" s="4">
        <f>H54+O54+P54+Q54</f>
        <v>224145.7662091241</v>
      </c>
      <c r="H54" s="4">
        <f t="shared" si="0"/>
        <v>157866.73</v>
      </c>
      <c r="I54" s="4">
        <v>957.6</v>
      </c>
      <c r="J54" s="4">
        <v>1169.65</v>
      </c>
      <c r="K54" s="4"/>
      <c r="L54" s="4">
        <f>17728.2+1073.3+2285.88+6300.55</f>
        <v>27387.93</v>
      </c>
      <c r="M54" s="4">
        <v>128351.55</v>
      </c>
      <c r="N54" s="15">
        <v>2.35</v>
      </c>
      <c r="O54" s="14">
        <f>N54*C54*12</f>
        <v>62822.83200000001</v>
      </c>
      <c r="P54" s="4">
        <f>201520.57/178236.42*C54</f>
        <v>2518.786368258519</v>
      </c>
      <c r="Q54" s="4">
        <f t="shared" si="1"/>
        <v>937.4178408655201</v>
      </c>
      <c r="R54" s="4">
        <v>133927.29</v>
      </c>
    </row>
    <row r="55" spans="1:18" ht="12.75">
      <c r="A55" s="1"/>
      <c r="B55" s="5"/>
      <c r="C55" s="11"/>
      <c r="D55" s="4"/>
      <c r="E55" s="4"/>
      <c r="F55" s="7"/>
      <c r="G55" s="4"/>
      <c r="H55" s="4"/>
      <c r="I55" s="4"/>
      <c r="J55" s="4"/>
      <c r="K55" s="4"/>
      <c r="L55" s="4"/>
      <c r="M55" s="4"/>
      <c r="N55" s="15"/>
      <c r="O55" s="14"/>
      <c r="P55" s="4"/>
      <c r="Q55" s="4"/>
      <c r="R55" s="4"/>
    </row>
    <row r="56" spans="1:18" ht="12.75">
      <c r="A56" s="1" t="s">
        <v>8</v>
      </c>
      <c r="B56" s="5">
        <v>64</v>
      </c>
      <c r="C56" s="11">
        <v>821.4</v>
      </c>
      <c r="D56" s="4">
        <v>101221.23</v>
      </c>
      <c r="E56" s="4">
        <v>94752.9</v>
      </c>
      <c r="F56" s="7">
        <f>E56*100/D56</f>
        <v>93.6097101368952</v>
      </c>
      <c r="G56" s="4">
        <f>H56+O56+P56+Q56</f>
        <v>199087.06110378788</v>
      </c>
      <c r="H56" s="4">
        <f t="shared" si="0"/>
        <v>174649.24</v>
      </c>
      <c r="I56" s="4">
        <v>844.2</v>
      </c>
      <c r="J56" s="4">
        <v>476.74</v>
      </c>
      <c r="K56" s="4"/>
      <c r="L56" s="4">
        <f>394.3+6488.04</f>
        <v>6882.34</v>
      </c>
      <c r="M56" s="4">
        <v>166445.96</v>
      </c>
      <c r="N56" s="15">
        <v>2.35</v>
      </c>
      <c r="O56" s="14">
        <f>N56*C56*12</f>
        <v>23163.48</v>
      </c>
      <c r="P56" s="4">
        <f>201520.57/178236.42*C56</f>
        <v>928.7046732536481</v>
      </c>
      <c r="Q56" s="4">
        <f t="shared" si="1"/>
        <v>345.63643053423084</v>
      </c>
      <c r="R56" s="4">
        <v>44832.69</v>
      </c>
    </row>
    <row r="57" spans="1:18" ht="12.75">
      <c r="A57" s="1"/>
      <c r="B57" s="5"/>
      <c r="C57" s="11"/>
      <c r="D57" s="4"/>
      <c r="E57" s="4"/>
      <c r="F57" s="7"/>
      <c r="G57" s="4"/>
      <c r="H57" s="4"/>
      <c r="I57" s="4"/>
      <c r="J57" s="4"/>
      <c r="K57" s="4"/>
      <c r="L57" s="4"/>
      <c r="M57" s="4"/>
      <c r="N57" s="15"/>
      <c r="O57" s="14"/>
      <c r="P57" s="4"/>
      <c r="Q57" s="4"/>
      <c r="R57" s="4"/>
    </row>
    <row r="58" spans="1:18" ht="12.75">
      <c r="A58" s="1" t="s">
        <v>8</v>
      </c>
      <c r="B58" s="5" t="s">
        <v>17</v>
      </c>
      <c r="C58" s="11">
        <v>1113.98</v>
      </c>
      <c r="D58" s="4">
        <v>122831.76</v>
      </c>
      <c r="E58" s="4">
        <v>109478.26</v>
      </c>
      <c r="F58" s="7">
        <f>E58*100/D58</f>
        <v>89.12862601659376</v>
      </c>
      <c r="G58" s="4">
        <f>H58+O58+P58+Q58</f>
        <v>125169.07084713614</v>
      </c>
      <c r="H58" s="4">
        <f t="shared" si="0"/>
        <v>95234.84000000001</v>
      </c>
      <c r="I58" s="9"/>
      <c r="J58" s="9"/>
      <c r="K58" s="9"/>
      <c r="L58" s="9">
        <f>550.94+9391.8</f>
        <v>9942.74</v>
      </c>
      <c r="M58" s="9">
        <v>85292.1</v>
      </c>
      <c r="N58" s="64">
        <v>2.11</v>
      </c>
      <c r="O58" s="14">
        <f>N58*C58*12</f>
        <v>28205.9736</v>
      </c>
      <c r="P58" s="4">
        <f>201520.57/178236.42*C58</f>
        <v>1259.50624776126</v>
      </c>
      <c r="Q58" s="4">
        <f t="shared" si="1"/>
        <v>468.7509993748752</v>
      </c>
      <c r="R58" s="4">
        <v>140941.01</v>
      </c>
    </row>
    <row r="59" spans="1:18" ht="12.75">
      <c r="A59" s="1"/>
      <c r="B59" s="5"/>
      <c r="C59" s="11"/>
      <c r="D59" s="4"/>
      <c r="E59" s="4"/>
      <c r="F59" s="7"/>
      <c r="G59" s="4"/>
      <c r="H59" s="4"/>
      <c r="I59" s="4"/>
      <c r="J59" s="4"/>
      <c r="K59" s="4"/>
      <c r="L59" s="4"/>
      <c r="M59" s="4"/>
      <c r="N59" s="15"/>
      <c r="O59" s="14"/>
      <c r="P59" s="4"/>
      <c r="Q59" s="4"/>
      <c r="R59" s="4"/>
    </row>
    <row r="60" spans="1:18" ht="12.75">
      <c r="A60" s="1" t="s">
        <v>8</v>
      </c>
      <c r="B60" s="5">
        <v>65</v>
      </c>
      <c r="C60" s="11">
        <v>3323.5</v>
      </c>
      <c r="D60" s="4">
        <v>338997</v>
      </c>
      <c r="E60" s="4">
        <v>311277.69</v>
      </c>
      <c r="F60" s="7">
        <f>E60*100/D60</f>
        <v>91.82314002778786</v>
      </c>
      <c r="G60" s="4">
        <f>H60+O60+P60+Q60</f>
        <v>357867.5134507414</v>
      </c>
      <c r="H60" s="4">
        <f t="shared" si="0"/>
        <v>278929.65</v>
      </c>
      <c r="I60" s="4">
        <v>1229.2</v>
      </c>
      <c r="J60" s="4">
        <v>1602.95</v>
      </c>
      <c r="K60" s="4">
        <v>4095</v>
      </c>
      <c r="L60" s="4">
        <f>26359.32+1595.28+3397.51+9362.22</f>
        <v>40714.33</v>
      </c>
      <c r="M60" s="4">
        <v>231288.17</v>
      </c>
      <c r="N60" s="15">
        <v>1.85</v>
      </c>
      <c r="O60" s="14">
        <f>N60*C60*12</f>
        <v>73781.70000000001</v>
      </c>
      <c r="P60" s="4">
        <f>201520.57/178236.42*C60</f>
        <v>3757.6698095428533</v>
      </c>
      <c r="Q60" s="4">
        <f t="shared" si="1"/>
        <v>1398.4936411985832</v>
      </c>
      <c r="R60" s="4">
        <v>205753.38</v>
      </c>
    </row>
    <row r="61" spans="1:18" ht="12.75">
      <c r="A61" s="1"/>
      <c r="B61" s="5"/>
      <c r="C61" s="11"/>
      <c r="D61" s="4"/>
      <c r="E61" s="4"/>
      <c r="F61" s="7"/>
      <c r="G61" s="4"/>
      <c r="H61" s="4"/>
      <c r="I61" s="4"/>
      <c r="J61" s="4"/>
      <c r="K61" s="4"/>
      <c r="L61" s="4"/>
      <c r="M61" s="4"/>
      <c r="N61" s="15"/>
      <c r="O61" s="14"/>
      <c r="P61" s="4"/>
      <c r="Q61" s="4"/>
      <c r="R61" s="4"/>
    </row>
    <row r="62" spans="1:18" ht="12.75">
      <c r="A62" s="1" t="s">
        <v>8</v>
      </c>
      <c r="B62" s="5">
        <v>66</v>
      </c>
      <c r="C62" s="11">
        <v>568.3</v>
      </c>
      <c r="D62" s="4">
        <v>71601.6</v>
      </c>
      <c r="E62" s="4">
        <v>64868.07</v>
      </c>
      <c r="F62" s="7">
        <f>E62*100/D62</f>
        <v>90.5958386404773</v>
      </c>
      <c r="G62" s="4">
        <f>H62+O62+P62+Q62</f>
        <v>62523.11524870057</v>
      </c>
      <c r="H62" s="4">
        <f t="shared" si="0"/>
        <v>45615.38</v>
      </c>
      <c r="I62" s="4"/>
      <c r="J62" s="4">
        <v>332.4</v>
      </c>
      <c r="K62" s="4"/>
      <c r="L62" s="4">
        <f>272.66+4499.4</f>
        <v>4772.0599999999995</v>
      </c>
      <c r="M62" s="4">
        <v>40510.92</v>
      </c>
      <c r="N62" s="15">
        <v>2.35</v>
      </c>
      <c r="O62" s="14">
        <f>N62*C62*12</f>
        <v>16026.059999999998</v>
      </c>
      <c r="P62" s="4">
        <f>201520.57/178236.42*C62</f>
        <v>642.5406206599077</v>
      </c>
      <c r="Q62" s="4">
        <f t="shared" si="1"/>
        <v>239.13462804066643</v>
      </c>
      <c r="R62" s="4">
        <v>38229.74</v>
      </c>
    </row>
    <row r="63" spans="1:18" ht="12.75">
      <c r="A63" s="1"/>
      <c r="B63" s="5"/>
      <c r="C63" s="11"/>
      <c r="D63" s="4"/>
      <c r="E63" s="4"/>
      <c r="F63" s="7"/>
      <c r="G63" s="4"/>
      <c r="H63" s="4"/>
      <c r="I63" s="4"/>
      <c r="J63" s="4"/>
      <c r="K63" s="4"/>
      <c r="L63" s="4"/>
      <c r="M63" s="4"/>
      <c r="N63" s="15"/>
      <c r="O63" s="14"/>
      <c r="P63" s="4"/>
      <c r="Q63" s="4"/>
      <c r="R63" s="4"/>
    </row>
    <row r="64" spans="1:18" ht="12.75">
      <c r="A64" s="1" t="s">
        <v>8</v>
      </c>
      <c r="B64" s="5">
        <v>67</v>
      </c>
      <c r="C64" s="11">
        <v>3226.5</v>
      </c>
      <c r="D64" s="4">
        <v>329103</v>
      </c>
      <c r="E64" s="4">
        <v>302851.16</v>
      </c>
      <c r="F64" s="7">
        <f>E64*100/D64</f>
        <v>92.02321461670053</v>
      </c>
      <c r="G64" s="4">
        <f>H64+O64+P64+Q64</f>
        <v>490491.55515384895</v>
      </c>
      <c r="H64" s="4">
        <f t="shared" si="0"/>
        <v>413857.57999999996</v>
      </c>
      <c r="I64" s="4">
        <v>1304.8</v>
      </c>
      <c r="J64" s="4">
        <v>1836.95</v>
      </c>
      <c r="K64" s="4">
        <v>4212</v>
      </c>
      <c r="L64" s="4">
        <f>1958.63+25553.88+4848.4</f>
        <v>32360.910000000003</v>
      </c>
      <c r="M64" s="4">
        <v>374142.92</v>
      </c>
      <c r="N64" s="15">
        <v>1.85</v>
      </c>
      <c r="O64" s="14">
        <f>N64*C64*12</f>
        <v>71628.3</v>
      </c>
      <c r="P64" s="4">
        <f>201520.57/178236.42*C64</f>
        <v>3647.998086502186</v>
      </c>
      <c r="Q64" s="4">
        <f t="shared" si="1"/>
        <v>1357.6770673468418</v>
      </c>
      <c r="R64" s="4">
        <v>206083.79</v>
      </c>
    </row>
    <row r="65" spans="1:18" ht="12.75">
      <c r="A65" s="1"/>
      <c r="B65" s="5"/>
      <c r="C65" s="11"/>
      <c r="D65" s="4"/>
      <c r="E65" s="4"/>
      <c r="F65" s="7"/>
      <c r="G65" s="4"/>
      <c r="H65" s="4"/>
      <c r="I65" s="4"/>
      <c r="J65" s="4"/>
      <c r="K65" s="4"/>
      <c r="L65" s="4"/>
      <c r="M65" s="4"/>
      <c r="N65" s="15"/>
      <c r="O65" s="14"/>
      <c r="P65" s="4"/>
      <c r="Q65" s="4"/>
      <c r="R65" s="4"/>
    </row>
    <row r="66" spans="1:18" ht="12.75">
      <c r="A66" s="1" t="s">
        <v>8</v>
      </c>
      <c r="B66" s="5">
        <v>68</v>
      </c>
      <c r="C66" s="11">
        <v>854</v>
      </c>
      <c r="D66" s="4">
        <v>107598.96</v>
      </c>
      <c r="E66" s="4">
        <v>98898.55</v>
      </c>
      <c r="F66" s="7">
        <f>E66*100/D66</f>
        <v>91.91403894610133</v>
      </c>
      <c r="G66" s="4">
        <f>H66+O66+P66+Q66</f>
        <v>106847.80758294965</v>
      </c>
      <c r="H66" s="4">
        <f t="shared" si="0"/>
        <v>81440.09</v>
      </c>
      <c r="I66" s="4">
        <v>252</v>
      </c>
      <c r="J66" s="4">
        <v>492.77</v>
      </c>
      <c r="K66" s="4"/>
      <c r="L66" s="4">
        <f>6763.32</f>
        <v>6763.32</v>
      </c>
      <c r="M66" s="4">
        <f>73932</f>
        <v>73932</v>
      </c>
      <c r="N66" s="15">
        <v>2.35</v>
      </c>
      <c r="O66" s="14">
        <f>N66*C66*12</f>
        <v>24082.800000000003</v>
      </c>
      <c r="P66" s="4">
        <f>201520.57/178236.42*C66</f>
        <v>965.5634172858723</v>
      </c>
      <c r="Q66" s="4">
        <f t="shared" si="1"/>
        <v>359.3541656637852</v>
      </c>
      <c r="R66" s="4">
        <v>57485</v>
      </c>
    </row>
    <row r="67" spans="1:18" ht="12.75">
      <c r="A67" s="1"/>
      <c r="B67" s="5"/>
      <c r="C67" s="11"/>
      <c r="D67" s="4"/>
      <c r="E67" s="4"/>
      <c r="F67" s="7"/>
      <c r="G67" s="4"/>
      <c r="H67" s="4"/>
      <c r="I67" s="4"/>
      <c r="J67" s="4"/>
      <c r="K67" s="4"/>
      <c r="L67" s="4"/>
      <c r="M67" s="4"/>
      <c r="N67" s="15"/>
      <c r="O67" s="14"/>
      <c r="P67" s="4"/>
      <c r="Q67" s="4"/>
      <c r="R67" s="4"/>
    </row>
    <row r="68" spans="1:18" ht="12.75">
      <c r="A68" s="1" t="s">
        <v>8</v>
      </c>
      <c r="B68" s="5">
        <v>69</v>
      </c>
      <c r="C68" s="11">
        <v>3277.08</v>
      </c>
      <c r="D68" s="4">
        <v>334262.16</v>
      </c>
      <c r="E68" s="4">
        <v>307967.24</v>
      </c>
      <c r="F68" s="7">
        <f>E68*100/D68</f>
        <v>92.13344400096021</v>
      </c>
      <c r="G68" s="4">
        <f>H68+O68+P68+Q68</f>
        <v>234453.27226783684</v>
      </c>
      <c r="H68" s="4">
        <f t="shared" si="0"/>
        <v>156617.95</v>
      </c>
      <c r="I68" s="4">
        <v>1183</v>
      </c>
      <c r="J68" s="4">
        <v>1836.95</v>
      </c>
      <c r="K68" s="4">
        <v>4680</v>
      </c>
      <c r="L68" s="4">
        <f>1572.98+25952.04+4929</f>
        <v>32454.02</v>
      </c>
      <c r="M68" s="4">
        <v>116463.98</v>
      </c>
      <c r="N68" s="15">
        <v>1.85</v>
      </c>
      <c r="O68" s="14">
        <f>N68*C68*12</f>
        <v>72751.176</v>
      </c>
      <c r="P68" s="4">
        <f>201520.57/178236.42*C68</f>
        <v>3705.1856715681342</v>
      </c>
      <c r="Q68" s="4">
        <f t="shared" si="1"/>
        <v>1378.9605962687085</v>
      </c>
      <c r="R68" s="4">
        <v>212381.06</v>
      </c>
    </row>
    <row r="69" spans="1:18" ht="12.75">
      <c r="A69" s="1"/>
      <c r="B69" s="5"/>
      <c r="C69" s="11"/>
      <c r="D69" s="4"/>
      <c r="E69" s="4"/>
      <c r="F69" s="7"/>
      <c r="G69" s="4"/>
      <c r="H69" s="4"/>
      <c r="I69" s="4"/>
      <c r="J69" s="4"/>
      <c r="K69" s="4"/>
      <c r="L69" s="4"/>
      <c r="M69" s="4"/>
      <c r="N69" s="15"/>
      <c r="O69" s="14"/>
      <c r="P69" s="4"/>
      <c r="Q69" s="4"/>
      <c r="R69" s="4"/>
    </row>
    <row r="70" spans="1:18" ht="12.75">
      <c r="A70" s="1" t="s">
        <v>8</v>
      </c>
      <c r="B70" s="5">
        <v>70</v>
      </c>
      <c r="C70" s="11">
        <v>1280.71</v>
      </c>
      <c r="D70" s="4">
        <v>145238.08</v>
      </c>
      <c r="E70" s="4">
        <v>116672.17</v>
      </c>
      <c r="F70" s="7">
        <f>E70*100/D70</f>
        <v>80.33166646102731</v>
      </c>
      <c r="G70" s="4">
        <f>H70+O70+P70+Q70</f>
        <v>129652.18366095956</v>
      </c>
      <c r="H70" s="4">
        <f t="shared" si="0"/>
        <v>95237.68000000001</v>
      </c>
      <c r="I70" s="4">
        <v>921.2</v>
      </c>
      <c r="J70" s="4">
        <v>1407.88</v>
      </c>
      <c r="K70" s="4"/>
      <c r="L70" s="4">
        <f>10150.08+615.14</f>
        <v>10765.22</v>
      </c>
      <c r="M70" s="4">
        <v>82143.38</v>
      </c>
      <c r="N70" s="15">
        <v>2.11</v>
      </c>
      <c r="O70" s="14">
        <f>N70*C70*12</f>
        <v>32427.5772</v>
      </c>
      <c r="P70" s="4">
        <f>201520.57/178236.42*C70</f>
        <v>1448.0172413960065</v>
      </c>
      <c r="Q70" s="4">
        <f t="shared" si="1"/>
        <v>538.9092195635437</v>
      </c>
      <c r="R70" s="4">
        <v>151298.22</v>
      </c>
    </row>
    <row r="71" spans="1:18" ht="12.75">
      <c r="A71" s="1"/>
      <c r="B71" s="5"/>
      <c r="C71" s="11"/>
      <c r="D71" s="4"/>
      <c r="E71" s="4"/>
      <c r="F71" s="7"/>
      <c r="G71" s="4"/>
      <c r="H71" s="4"/>
      <c r="I71" s="4"/>
      <c r="J71" s="4"/>
      <c r="K71" s="4"/>
      <c r="L71" s="4"/>
      <c r="M71" s="4"/>
      <c r="N71" s="15"/>
      <c r="O71" s="14"/>
      <c r="P71" s="4"/>
      <c r="Q71" s="4"/>
      <c r="R71" s="4"/>
    </row>
    <row r="72" spans="1:18" ht="12.75">
      <c r="A72" s="1" t="s">
        <v>8</v>
      </c>
      <c r="B72" s="5">
        <v>71</v>
      </c>
      <c r="C72" s="11">
        <v>3256.86</v>
      </c>
      <c r="D72" s="4">
        <v>332203.87</v>
      </c>
      <c r="E72" s="4">
        <v>306694.66</v>
      </c>
      <c r="F72" s="7">
        <f>E72*100/D72</f>
        <v>92.3212182928513</v>
      </c>
      <c r="G72" s="4">
        <f>H72+O72+P72+Q72</f>
        <v>271470.33843935066</v>
      </c>
      <c r="H72" s="4">
        <f t="shared" si="0"/>
        <v>194115.27000000002</v>
      </c>
      <c r="I72" s="4">
        <v>1304.8</v>
      </c>
      <c r="J72" s="4">
        <v>1859.85</v>
      </c>
      <c r="K72" s="4">
        <v>3978</v>
      </c>
      <c r="L72" s="4">
        <f>1563.38+25796.28+4898</f>
        <v>32257.66</v>
      </c>
      <c r="M72" s="4">
        <f>150579+1583.04+2552.92</f>
        <v>154714.96000000002</v>
      </c>
      <c r="N72" s="15">
        <v>1.85</v>
      </c>
      <c r="O72" s="14">
        <f>N72*C72*12</f>
        <v>72302.29200000002</v>
      </c>
      <c r="P72" s="4">
        <f>201520.57/178236.42*C72</f>
        <v>3682.324205177595</v>
      </c>
      <c r="Q72" s="4">
        <f t="shared" si="1"/>
        <v>1370.4522341730158</v>
      </c>
      <c r="R72" s="4">
        <v>194312.61</v>
      </c>
    </row>
    <row r="73" spans="1:18" ht="12.75">
      <c r="A73" s="1"/>
      <c r="B73" s="5"/>
      <c r="C73" s="11"/>
      <c r="D73" s="4"/>
      <c r="E73" s="4"/>
      <c r="F73" s="7"/>
      <c r="G73" s="4"/>
      <c r="H73" s="4"/>
      <c r="I73" s="4"/>
      <c r="J73" s="4"/>
      <c r="K73" s="4"/>
      <c r="L73" s="4"/>
      <c r="M73" s="4"/>
      <c r="N73" s="15"/>
      <c r="O73" s="14"/>
      <c r="P73" s="4"/>
      <c r="Q73" s="4"/>
      <c r="R73" s="4"/>
    </row>
    <row r="74" spans="1:18" ht="12.75">
      <c r="A74" s="1" t="s">
        <v>8</v>
      </c>
      <c r="B74" s="5">
        <v>72</v>
      </c>
      <c r="C74" s="11">
        <f>1293.1+185.94</f>
        <v>1479.04</v>
      </c>
      <c r="D74" s="4">
        <f>147724.08+16787.48</f>
        <v>164511.56</v>
      </c>
      <c r="E74" s="4">
        <f>126136.81+13867.53</f>
        <v>140004.34</v>
      </c>
      <c r="F74" s="7">
        <f>E74*100/D74</f>
        <v>85.10304078327383</v>
      </c>
      <c r="G74" s="4">
        <f>H74+O74+P74+Q74</f>
        <v>226838.8335282036</v>
      </c>
      <c r="H74" s="4">
        <f aca="true" t="shared" si="2" ref="H74:H136">I74+J74+K74+L74+M74</f>
        <v>187094.92</v>
      </c>
      <c r="I74" s="4">
        <v>940.8</v>
      </c>
      <c r="J74" s="4">
        <v>1015.87</v>
      </c>
      <c r="K74" s="4"/>
      <c r="L74" s="4">
        <f>11956.8+715.45</f>
        <v>12672.25</v>
      </c>
      <c r="M74" s="4">
        <v>172466</v>
      </c>
      <c r="N74" s="15">
        <v>2.11</v>
      </c>
      <c r="O74" s="14">
        <f>N74*C74*12</f>
        <v>37449.292799999996</v>
      </c>
      <c r="P74" s="4">
        <f>201520.57/178236.42*C74</f>
        <v>1672.2563427429702</v>
      </c>
      <c r="Q74" s="4">
        <f aca="true" t="shared" si="3" ref="Q74:Q136">C74*75000/178236.42</f>
        <v>622.3643854606146</v>
      </c>
      <c r="R74" s="4">
        <f>179117.38+73539.2</f>
        <v>252656.58000000002</v>
      </c>
    </row>
    <row r="75" spans="1:18" ht="12.75">
      <c r="A75" s="1"/>
      <c r="B75" s="5"/>
      <c r="C75" s="11"/>
      <c r="D75" s="4"/>
      <c r="E75" s="4"/>
      <c r="F75" s="7"/>
      <c r="G75" s="4"/>
      <c r="H75" s="4"/>
      <c r="I75" s="4"/>
      <c r="J75" s="4"/>
      <c r="K75" s="4"/>
      <c r="L75" s="4"/>
      <c r="M75" s="4"/>
      <c r="N75" s="15"/>
      <c r="O75" s="14"/>
      <c r="P75" s="4"/>
      <c r="Q75" s="4"/>
      <c r="R75" s="4"/>
    </row>
    <row r="76" spans="1:18" ht="12.75">
      <c r="A76" s="1" t="s">
        <v>8</v>
      </c>
      <c r="B76" s="5">
        <v>73</v>
      </c>
      <c r="C76" s="11">
        <v>3312.07</v>
      </c>
      <c r="D76" s="4">
        <v>337659.6</v>
      </c>
      <c r="E76" s="4">
        <v>304096.3</v>
      </c>
      <c r="F76" s="7">
        <f>E76*100/D76</f>
        <v>90.06001902507734</v>
      </c>
      <c r="G76" s="4">
        <f>H76+O76+P76+Q76</f>
        <v>251162.65465451998</v>
      </c>
      <c r="H76" s="4">
        <f t="shared" si="2"/>
        <v>172496.27</v>
      </c>
      <c r="I76" s="4">
        <v>1286.6</v>
      </c>
      <c r="J76" s="4">
        <v>1937.78</v>
      </c>
      <c r="K76" s="4">
        <v>3978</v>
      </c>
      <c r="L76" s="4">
        <f>26253+1591.08+4978.6</f>
        <v>32822.68</v>
      </c>
      <c r="M76" s="4">
        <v>132471.21</v>
      </c>
      <c r="N76" s="15">
        <v>1.85</v>
      </c>
      <c r="O76" s="14">
        <f>N76*C76*12</f>
        <v>73527.95400000001</v>
      </c>
      <c r="P76" s="4">
        <f>201520.57/178236.42*C76</f>
        <v>3744.746636405175</v>
      </c>
      <c r="Q76" s="4">
        <f t="shared" si="3"/>
        <v>1393.6840181148161</v>
      </c>
      <c r="R76" s="4">
        <v>253065.18</v>
      </c>
    </row>
    <row r="77" spans="1:18" ht="12.75">
      <c r="A77" s="1"/>
      <c r="B77" s="5"/>
      <c r="C77" s="11"/>
      <c r="D77" s="4"/>
      <c r="E77" s="4"/>
      <c r="F77" s="7"/>
      <c r="G77" s="4"/>
      <c r="H77" s="4"/>
      <c r="I77" s="4"/>
      <c r="J77" s="4"/>
      <c r="K77" s="4"/>
      <c r="L77" s="4"/>
      <c r="M77" s="4"/>
      <c r="N77" s="15"/>
      <c r="O77" s="14"/>
      <c r="P77" s="4"/>
      <c r="Q77" s="4"/>
      <c r="R77" s="4"/>
    </row>
    <row r="78" spans="1:18" ht="12.75">
      <c r="A78" s="1" t="s">
        <v>8</v>
      </c>
      <c r="B78" s="5">
        <v>74</v>
      </c>
      <c r="C78" s="11">
        <v>3670.09</v>
      </c>
      <c r="D78" s="4">
        <v>419901.77</v>
      </c>
      <c r="E78" s="4">
        <v>377792.96</v>
      </c>
      <c r="F78" s="7">
        <f>E78*100/D78</f>
        <v>89.97174743988337</v>
      </c>
      <c r="G78" s="4">
        <f>H78+O78+P78+Q78</f>
        <v>325054.3708983697</v>
      </c>
      <c r="H78" s="4">
        <f t="shared" si="2"/>
        <v>226433.82</v>
      </c>
      <c r="I78" s="4">
        <v>2139.2</v>
      </c>
      <c r="J78" s="4">
        <v>2461.98</v>
      </c>
      <c r="K78" s="4">
        <v>4563</v>
      </c>
      <c r="L78" s="4">
        <f>1767.71+29525.76</f>
        <v>31293.469999999998</v>
      </c>
      <c r="M78" s="4">
        <f>167792.26+13136.6+1789.81+3257.5</f>
        <v>185976.17</v>
      </c>
      <c r="N78" s="15">
        <v>2.11</v>
      </c>
      <c r="O78" s="14">
        <f>N78*C78*12</f>
        <v>92926.6788</v>
      </c>
      <c r="P78" s="4">
        <f>201520.57/178236.42*C78</f>
        <v>4149.537051694037</v>
      </c>
      <c r="Q78" s="4">
        <f t="shared" si="3"/>
        <v>1544.3350466756456</v>
      </c>
      <c r="R78" s="4">
        <v>304774.05</v>
      </c>
    </row>
    <row r="79" spans="1:18" ht="12.75">
      <c r="A79" s="1"/>
      <c r="B79" s="5"/>
      <c r="C79" s="11"/>
      <c r="D79" s="4"/>
      <c r="E79" s="4"/>
      <c r="F79" s="7"/>
      <c r="G79" s="4"/>
      <c r="H79" s="4"/>
      <c r="I79" s="4"/>
      <c r="J79" s="4"/>
      <c r="K79" s="4"/>
      <c r="L79" s="4"/>
      <c r="M79" s="4"/>
      <c r="N79" s="15"/>
      <c r="O79" s="14"/>
      <c r="P79" s="4"/>
      <c r="Q79" s="4"/>
      <c r="R79" s="4"/>
    </row>
    <row r="80" spans="1:18" ht="12.75">
      <c r="A80" s="1" t="s">
        <v>1</v>
      </c>
      <c r="B80" s="5">
        <v>75</v>
      </c>
      <c r="C80" s="11">
        <v>3817.4</v>
      </c>
      <c r="D80" s="4">
        <v>209957</v>
      </c>
      <c r="E80" s="4">
        <v>158444.62</v>
      </c>
      <c r="F80" s="7">
        <f>E80*100/D80</f>
        <v>75.46527146034664</v>
      </c>
      <c r="G80" s="4">
        <f>H80+O80+P80+Q80</f>
        <v>158014.3526242998</v>
      </c>
      <c r="H80" s="4">
        <f t="shared" si="2"/>
        <v>107237.49</v>
      </c>
      <c r="I80" s="4"/>
      <c r="J80" s="4"/>
      <c r="K80" s="4"/>
      <c r="L80" s="4">
        <f>12365.75+749.44</f>
        <v>13115.19</v>
      </c>
      <c r="M80" s="4">
        <v>94122.3</v>
      </c>
      <c r="N80" s="15">
        <v>2.35</v>
      </c>
      <c r="O80" s="14">
        <f>N80*C80*5</f>
        <v>44854.450000000004</v>
      </c>
      <c r="P80" s="4">
        <f>201520.57/178236.42*C80</f>
        <v>4316.091087994249</v>
      </c>
      <c r="Q80" s="4">
        <f t="shared" si="3"/>
        <v>1606.3215363055428</v>
      </c>
      <c r="R80" s="4">
        <v>82049.73</v>
      </c>
    </row>
    <row r="81" spans="1:18" ht="12.75">
      <c r="A81" s="1"/>
      <c r="B81" s="5"/>
      <c r="C81" s="11"/>
      <c r="D81" s="4"/>
      <c r="E81" s="4"/>
      <c r="F81" s="7"/>
      <c r="G81" s="4"/>
      <c r="H81" s="4"/>
      <c r="I81" s="4"/>
      <c r="J81" s="4"/>
      <c r="K81" s="4"/>
      <c r="L81" s="4"/>
      <c r="M81" s="4"/>
      <c r="N81" s="15"/>
      <c r="O81" s="14"/>
      <c r="P81" s="4"/>
      <c r="Q81" s="4"/>
      <c r="R81" s="4"/>
    </row>
    <row r="82" spans="1:18" ht="12.75">
      <c r="A82" s="1" t="s">
        <v>8</v>
      </c>
      <c r="B82" s="5">
        <v>76</v>
      </c>
      <c r="C82" s="11">
        <v>5930.2</v>
      </c>
      <c r="D82" s="4">
        <v>665383.61</v>
      </c>
      <c r="E82" s="4">
        <v>604812.26</v>
      </c>
      <c r="F82" s="7">
        <f>E82*100/D82</f>
        <v>90.89677757466855</v>
      </c>
      <c r="G82" s="4">
        <f>H82+O82+P82+Q82</f>
        <v>787697.0289302202</v>
      </c>
      <c r="H82" s="4">
        <f t="shared" si="2"/>
        <v>628344.1</v>
      </c>
      <c r="I82" s="4">
        <f>2700.6</f>
        <v>2700.6</v>
      </c>
      <c r="J82" s="4">
        <v>4274.3</v>
      </c>
      <c r="K82" s="4">
        <v>7371</v>
      </c>
      <c r="L82" s="4">
        <f>2879.3+47508.96</f>
        <v>50388.26</v>
      </c>
      <c r="M82" s="4">
        <v>563609.94</v>
      </c>
      <c r="N82" s="15">
        <v>2.11</v>
      </c>
      <c r="O82" s="14">
        <f>N82*C82*12</f>
        <v>150152.664</v>
      </c>
      <c r="P82" s="4">
        <f>201520.57/178236.42*C82</f>
        <v>6704.899504904778</v>
      </c>
      <c r="Q82" s="4">
        <f t="shared" si="3"/>
        <v>2495.365425315432</v>
      </c>
      <c r="R82" s="4">
        <v>389174.95</v>
      </c>
    </row>
    <row r="83" spans="1:18" ht="12.75">
      <c r="A83" s="1"/>
      <c r="B83" s="5"/>
      <c r="C83" s="11"/>
      <c r="D83" s="4"/>
      <c r="E83" s="4"/>
      <c r="F83" s="7"/>
      <c r="G83" s="4"/>
      <c r="H83" s="4"/>
      <c r="I83" s="4"/>
      <c r="J83" s="4"/>
      <c r="K83" s="4"/>
      <c r="L83" s="4"/>
      <c r="M83" s="4"/>
      <c r="N83" s="15"/>
      <c r="O83" s="14"/>
      <c r="P83" s="4"/>
      <c r="Q83" s="4"/>
      <c r="R83" s="4"/>
    </row>
    <row r="84" spans="1:18" ht="12.75">
      <c r="A84" s="1" t="s">
        <v>8</v>
      </c>
      <c r="B84" s="5">
        <v>78</v>
      </c>
      <c r="C84" s="11">
        <v>3240.94</v>
      </c>
      <c r="D84" s="4">
        <v>330791.25</v>
      </c>
      <c r="E84" s="4">
        <v>324558.59</v>
      </c>
      <c r="F84" s="7">
        <f>E84*100/D84</f>
        <v>98.11583287042811</v>
      </c>
      <c r="G84" s="4">
        <f>H84+O84+P84+Q84</f>
        <v>449005.0457415513</v>
      </c>
      <c r="H84" s="4">
        <f t="shared" si="2"/>
        <v>372028.1</v>
      </c>
      <c r="I84" s="4">
        <v>756</v>
      </c>
      <c r="J84" s="4">
        <v>1584.35</v>
      </c>
      <c r="K84" s="4">
        <v>4329</v>
      </c>
      <c r="L84" s="4">
        <f>25705.08+1555.67</f>
        <v>27260.75</v>
      </c>
      <c r="M84" s="4">
        <v>338098</v>
      </c>
      <c r="N84" s="15">
        <v>1.85</v>
      </c>
      <c r="O84" s="14">
        <f>N84*C84*12</f>
        <v>71948.868</v>
      </c>
      <c r="P84" s="4">
        <f>201520.57/178236.42*C84</f>
        <v>3664.324474963086</v>
      </c>
      <c r="Q84" s="4">
        <f t="shared" si="3"/>
        <v>1363.7532665882763</v>
      </c>
      <c r="R84" s="4">
        <v>233216.98</v>
      </c>
    </row>
    <row r="85" spans="1:18" ht="12.75">
      <c r="A85" s="1"/>
      <c r="B85" s="5"/>
      <c r="C85" s="11"/>
      <c r="D85" s="4"/>
      <c r="E85" s="4"/>
      <c r="F85" s="7"/>
      <c r="G85" s="4"/>
      <c r="H85" s="4"/>
      <c r="I85" s="4"/>
      <c r="J85" s="4"/>
      <c r="K85" s="4"/>
      <c r="L85" s="4"/>
      <c r="M85" s="4"/>
      <c r="N85" s="15"/>
      <c r="O85" s="14"/>
      <c r="P85" s="4"/>
      <c r="Q85" s="4"/>
      <c r="R85" s="4"/>
    </row>
    <row r="86" spans="1:18" ht="12.75">
      <c r="A86" s="1" t="s">
        <v>8</v>
      </c>
      <c r="B86" s="5">
        <v>80</v>
      </c>
      <c r="C86" s="11">
        <v>3233.72</v>
      </c>
      <c r="D86" s="4">
        <v>329862.76</v>
      </c>
      <c r="E86" s="4">
        <v>301642.66</v>
      </c>
      <c r="F86" s="7">
        <f>E86*100/D86</f>
        <v>91.44489665944708</v>
      </c>
      <c r="G86" s="4">
        <f>H86+O86+P86+Q86</f>
        <v>335973.5004477002</v>
      </c>
      <c r="H86" s="4">
        <f t="shared" si="2"/>
        <v>259168.04</v>
      </c>
      <c r="I86" s="4">
        <v>1173.2</v>
      </c>
      <c r="J86" s="4">
        <v>1852.91</v>
      </c>
      <c r="K86" s="4">
        <v>3627</v>
      </c>
      <c r="L86" s="4">
        <f>25619.04+1552.42</f>
        <v>27171.46</v>
      </c>
      <c r="M86" s="4">
        <f>221251.28+1571.95+2520.24</f>
        <v>225343.47</v>
      </c>
      <c r="N86" s="15">
        <v>1.85</v>
      </c>
      <c r="O86" s="14">
        <f>N86*C86*12</f>
        <v>71788.584</v>
      </c>
      <c r="P86" s="4">
        <f>201520.57/178236.42*C86</f>
        <v>3656.161280732636</v>
      </c>
      <c r="Q86" s="4">
        <f t="shared" si="3"/>
        <v>1360.7151669675588</v>
      </c>
      <c r="R86" s="4">
        <v>214079.48</v>
      </c>
    </row>
    <row r="87" spans="1:18" ht="12.75">
      <c r="A87" s="1"/>
      <c r="B87" s="5"/>
      <c r="C87" s="11"/>
      <c r="D87" s="4"/>
      <c r="E87" s="4"/>
      <c r="F87" s="7"/>
      <c r="G87" s="4"/>
      <c r="H87" s="4"/>
      <c r="I87" s="4"/>
      <c r="J87" s="4"/>
      <c r="K87" s="4"/>
      <c r="L87" s="4"/>
      <c r="M87" s="4"/>
      <c r="N87" s="15"/>
      <c r="O87" s="14"/>
      <c r="P87" s="4"/>
      <c r="Q87" s="4"/>
      <c r="R87" s="4"/>
    </row>
    <row r="88" spans="1:18" ht="12.75">
      <c r="A88" s="1" t="s">
        <v>8</v>
      </c>
      <c r="B88" s="5">
        <v>84</v>
      </c>
      <c r="C88" s="11">
        <v>3303.57</v>
      </c>
      <c r="D88" s="4">
        <v>336973.3</v>
      </c>
      <c r="E88" s="4">
        <v>308795.3</v>
      </c>
      <c r="F88" s="7">
        <f>E88*100/D88</f>
        <v>91.63791315216963</v>
      </c>
      <c r="G88" s="4">
        <f>H88+O88+P88+Q88</f>
        <v>262976.9375357202</v>
      </c>
      <c r="H88" s="4">
        <f t="shared" si="2"/>
        <v>184512.44</v>
      </c>
      <c r="I88" s="4">
        <v>1199.8</v>
      </c>
      <c r="J88" s="4">
        <v>1456.04</v>
      </c>
      <c r="K88" s="4">
        <v>3276</v>
      </c>
      <c r="L88" s="4">
        <f>1585.78+26153.52</f>
        <v>27739.3</v>
      </c>
      <c r="M88" s="4">
        <v>150841.3</v>
      </c>
      <c r="N88" s="15">
        <v>1.85</v>
      </c>
      <c r="O88" s="14">
        <f>N88*C88*12</f>
        <v>73339.254</v>
      </c>
      <c r="P88" s="4">
        <f>201520.57/178236.42*C88</f>
        <v>3735.1362276851164</v>
      </c>
      <c r="Q88" s="4">
        <f t="shared" si="3"/>
        <v>1390.1073080350243</v>
      </c>
      <c r="R88" s="4">
        <v>215416.42</v>
      </c>
    </row>
    <row r="89" spans="1:18" ht="12.75">
      <c r="A89" s="1"/>
      <c r="B89" s="5"/>
      <c r="C89" s="11"/>
      <c r="D89" s="4"/>
      <c r="E89" s="4"/>
      <c r="F89" s="7"/>
      <c r="G89" s="4"/>
      <c r="H89" s="4"/>
      <c r="I89" s="4"/>
      <c r="J89" s="4"/>
      <c r="K89" s="4"/>
      <c r="L89" s="4"/>
      <c r="M89" s="4"/>
      <c r="N89" s="15"/>
      <c r="O89" s="14"/>
      <c r="P89" s="4"/>
      <c r="Q89" s="4"/>
      <c r="R89" s="4"/>
    </row>
    <row r="90" spans="1:18" ht="12.75">
      <c r="A90" s="33" t="s">
        <v>8</v>
      </c>
      <c r="B90" s="63">
        <v>86</v>
      </c>
      <c r="C90" s="11">
        <v>2617</v>
      </c>
      <c r="D90" s="4">
        <v>290219.95</v>
      </c>
      <c r="E90" s="4">
        <v>261531.47</v>
      </c>
      <c r="F90" s="7">
        <f>E90*100/D90</f>
        <v>90.11491801304493</v>
      </c>
      <c r="G90" s="4">
        <f>H90+O90+P90+Q90</f>
        <v>215846.1811646127</v>
      </c>
      <c r="H90" s="4">
        <f t="shared" si="2"/>
        <v>145523.66</v>
      </c>
      <c r="I90" s="4">
        <v>1066.8</v>
      </c>
      <c r="J90" s="4"/>
      <c r="K90" s="4">
        <v>3744</v>
      </c>
      <c r="L90" s="4">
        <f>1255.79+20734.56+3935.55</f>
        <v>25925.9</v>
      </c>
      <c r="M90" s="4">
        <v>114786.96</v>
      </c>
      <c r="N90" s="15">
        <v>2.11</v>
      </c>
      <c r="O90" s="14">
        <f>N90*C90*12</f>
        <v>66262.44</v>
      </c>
      <c r="P90" s="4">
        <f>201520.57/178236.42*C90</f>
        <v>2958.8752494579953</v>
      </c>
      <c r="Q90" s="4">
        <f t="shared" si="3"/>
        <v>1101.2059151547141</v>
      </c>
      <c r="R90" s="4">
        <v>329347.45</v>
      </c>
    </row>
    <row r="91" spans="1:18" ht="12.75">
      <c r="A91" s="1"/>
      <c r="B91" s="5"/>
      <c r="C91" s="11"/>
      <c r="D91" s="4"/>
      <c r="E91" s="4"/>
      <c r="F91" s="7"/>
      <c r="G91" s="4"/>
      <c r="H91" s="4"/>
      <c r="I91" s="4"/>
      <c r="J91" s="4"/>
      <c r="K91" s="4"/>
      <c r="L91" s="4"/>
      <c r="M91" s="4"/>
      <c r="N91" s="11"/>
      <c r="O91" s="14"/>
      <c r="P91" s="4"/>
      <c r="Q91" s="4"/>
      <c r="R91" s="4"/>
    </row>
    <row r="92" spans="1:18" ht="12.75">
      <c r="A92" s="1" t="s">
        <v>8</v>
      </c>
      <c r="B92" s="5" t="s">
        <v>13</v>
      </c>
      <c r="C92" s="11">
        <v>797.9</v>
      </c>
      <c r="D92" s="4">
        <v>100535.54</v>
      </c>
      <c r="E92" s="4">
        <v>80972.77</v>
      </c>
      <c r="F92" s="7">
        <f>E92*100/D92</f>
        <v>80.54143838089496</v>
      </c>
      <c r="G92" s="4">
        <f>H92+O92+P92+Q92</f>
        <v>104899.49259887064</v>
      </c>
      <c r="H92" s="4">
        <f t="shared" si="2"/>
        <v>81160.83</v>
      </c>
      <c r="I92" s="4">
        <v>343</v>
      </c>
      <c r="J92" s="4">
        <v>1646.6</v>
      </c>
      <c r="K92" s="4">
        <f>0</f>
        <v>0</v>
      </c>
      <c r="L92" s="4">
        <f>383.02+6319.32+1313.89</f>
        <v>8016.2300000000005</v>
      </c>
      <c r="M92" s="4">
        <v>71155</v>
      </c>
      <c r="N92" s="11">
        <v>2.35</v>
      </c>
      <c r="O92" s="14">
        <f>N92*C92*12</f>
        <v>22500.78</v>
      </c>
      <c r="P92" s="4">
        <f>201520.57/178236.42*C92</f>
        <v>902.1347197334866</v>
      </c>
      <c r="Q92" s="4">
        <f t="shared" si="3"/>
        <v>335.7478791371595</v>
      </c>
      <c r="R92" s="4">
        <v>50128.5</v>
      </c>
    </row>
    <row r="93" spans="1:18" ht="12.75">
      <c r="A93" s="1"/>
      <c r="B93" s="5"/>
      <c r="C93" s="11"/>
      <c r="D93" s="4"/>
      <c r="E93" s="4"/>
      <c r="F93" s="7"/>
      <c r="G93" s="4"/>
      <c r="H93" s="4"/>
      <c r="I93" s="4"/>
      <c r="J93" s="4"/>
      <c r="K93" s="4"/>
      <c r="L93" s="4"/>
      <c r="M93" s="4"/>
      <c r="N93" s="11"/>
      <c r="O93" s="14"/>
      <c r="P93" s="4"/>
      <c r="Q93" s="4"/>
      <c r="R93" s="65"/>
    </row>
    <row r="94" spans="1:18" ht="12.75">
      <c r="A94" s="1" t="s">
        <v>8</v>
      </c>
      <c r="B94" s="5">
        <v>90</v>
      </c>
      <c r="C94" s="11">
        <v>2223.1</v>
      </c>
      <c r="D94" s="4">
        <v>23281.46</v>
      </c>
      <c r="E94" s="4">
        <v>13053.92</v>
      </c>
      <c r="F94" s="7">
        <f>E94*100/D94</f>
        <v>56.07002309992587</v>
      </c>
      <c r="G94" s="4">
        <f>H94+O94+P94+Q94</f>
        <v>69595.32456517025</v>
      </c>
      <c r="H94" s="4">
        <f t="shared" si="2"/>
        <v>45249.21</v>
      </c>
      <c r="I94" s="4"/>
      <c r="J94" s="4"/>
      <c r="K94" s="4"/>
      <c r="L94" s="4">
        <f>354.88</f>
        <v>354.88</v>
      </c>
      <c r="M94" s="4">
        <v>44894.33</v>
      </c>
      <c r="N94" s="11">
        <v>2.35</v>
      </c>
      <c r="O94" s="14">
        <f>N94*C94*4</f>
        <v>20897.14</v>
      </c>
      <c r="P94" s="4">
        <f>201520.57/178236.42*C94</f>
        <v>2513.5176030072867</v>
      </c>
      <c r="Q94" s="4">
        <f t="shared" si="3"/>
        <v>935.4569621629519</v>
      </c>
      <c r="R94" s="9">
        <v>15684.94</v>
      </c>
    </row>
    <row r="95" spans="1:18" ht="12.75">
      <c r="A95" s="1"/>
      <c r="B95" s="5"/>
      <c r="C95" s="11"/>
      <c r="D95" s="4"/>
      <c r="E95" s="4"/>
      <c r="F95" s="7"/>
      <c r="G95" s="4"/>
      <c r="H95" s="4"/>
      <c r="I95" s="4"/>
      <c r="J95" s="4"/>
      <c r="K95" s="4"/>
      <c r="L95" s="4"/>
      <c r="M95" s="4"/>
      <c r="N95" s="11"/>
      <c r="O95" s="14"/>
      <c r="P95" s="4"/>
      <c r="Q95" s="4"/>
      <c r="R95" s="65"/>
    </row>
    <row r="96" spans="1:18" ht="12.75">
      <c r="A96" s="1" t="s">
        <v>14</v>
      </c>
      <c r="B96" s="5">
        <v>1</v>
      </c>
      <c r="C96" s="11">
        <v>2784.37</v>
      </c>
      <c r="D96" s="4">
        <v>317840.17</v>
      </c>
      <c r="E96" s="4">
        <v>286335.62</v>
      </c>
      <c r="F96" s="7">
        <f>E96*100/D96</f>
        <v>90.08792689734592</v>
      </c>
      <c r="G96" s="4">
        <f>H96+O96+P96+Q96</f>
        <v>200714.75169091046</v>
      </c>
      <c r="H96" s="4">
        <f t="shared" si="2"/>
        <v>125894.76000000001</v>
      </c>
      <c r="I96" s="4">
        <v>1120</v>
      </c>
      <c r="J96" s="4">
        <v>1685.6</v>
      </c>
      <c r="K96" s="4"/>
      <c r="L96" s="4">
        <f>1334.31+22051.32+2844.17+7840.11</f>
        <v>34069.91</v>
      </c>
      <c r="M96" s="4">
        <f>83025.62+2820.72+3172.91</f>
        <v>89019.25</v>
      </c>
      <c r="N96" s="15">
        <v>2.11</v>
      </c>
      <c r="O96" s="14">
        <f>N96*C96*12</f>
        <v>70500.24839999998</v>
      </c>
      <c r="P96" s="4">
        <f>201520.57/178236.42*C96</f>
        <v>3148.109850337546</v>
      </c>
      <c r="Q96" s="4">
        <f t="shared" si="3"/>
        <v>1171.6334405729199</v>
      </c>
      <c r="R96" s="4">
        <v>310037.88</v>
      </c>
    </row>
    <row r="97" spans="1:18" ht="12.75">
      <c r="A97" s="1"/>
      <c r="B97" s="5"/>
      <c r="C97" s="11"/>
      <c r="D97" s="4"/>
      <c r="E97" s="4"/>
      <c r="F97" s="7"/>
      <c r="G97" s="4"/>
      <c r="H97" s="4"/>
      <c r="I97" s="4"/>
      <c r="J97" s="4"/>
      <c r="K97" s="4"/>
      <c r="L97" s="4"/>
      <c r="M97" s="4"/>
      <c r="N97" s="15"/>
      <c r="O97" s="14"/>
      <c r="P97" s="4"/>
      <c r="Q97" s="4"/>
      <c r="R97" s="4"/>
    </row>
    <row r="98" spans="1:18" ht="12.75">
      <c r="A98" s="1" t="s">
        <v>14</v>
      </c>
      <c r="B98" s="5">
        <v>3</v>
      </c>
      <c r="C98" s="11">
        <v>3582.2</v>
      </c>
      <c r="D98" s="4">
        <v>408914.94</v>
      </c>
      <c r="E98" s="4">
        <v>365101.5</v>
      </c>
      <c r="F98" s="7">
        <f>E98*100/D98</f>
        <v>89.28543916737304</v>
      </c>
      <c r="G98" s="4">
        <f>H98+O98+P98+Q98</f>
        <v>342126.29128997924</v>
      </c>
      <c r="H98" s="4">
        <f t="shared" si="2"/>
        <v>245867.47</v>
      </c>
      <c r="I98" s="4">
        <v>1419.6</v>
      </c>
      <c r="J98" s="4">
        <v>2215.48</v>
      </c>
      <c r="K98" s="4"/>
      <c r="L98" s="4">
        <f>28365.48+3906.7+10095.56+3661.96</f>
        <v>46029.7</v>
      </c>
      <c r="M98" s="4">
        <v>196202.69</v>
      </c>
      <c r="N98" s="15">
        <v>2.11</v>
      </c>
      <c r="O98" s="14">
        <f>N98*C98*12</f>
        <v>90701.30399999999</v>
      </c>
      <c r="P98" s="4">
        <f>201520.57/178236.42*C98</f>
        <v>4050.165425528632</v>
      </c>
      <c r="Q98" s="4">
        <f t="shared" si="3"/>
        <v>1507.3518644505987</v>
      </c>
      <c r="R98" s="4">
        <v>301121.32</v>
      </c>
    </row>
    <row r="99" spans="1:18" ht="12.75">
      <c r="A99" s="1"/>
      <c r="B99" s="5"/>
      <c r="C99" s="11"/>
      <c r="D99" s="4"/>
      <c r="E99" s="4"/>
      <c r="F99" s="7"/>
      <c r="G99" s="4"/>
      <c r="H99" s="4"/>
      <c r="I99" s="4"/>
      <c r="J99" s="4"/>
      <c r="K99" s="4"/>
      <c r="L99" s="4"/>
      <c r="M99" s="4"/>
      <c r="N99" s="15"/>
      <c r="O99" s="14"/>
      <c r="P99" s="4"/>
      <c r="Q99" s="4"/>
      <c r="R99" s="4"/>
    </row>
    <row r="100" spans="1:18" ht="12.75">
      <c r="A100" s="1" t="s">
        <v>14</v>
      </c>
      <c r="B100" s="5">
        <v>4</v>
      </c>
      <c r="C100" s="11">
        <v>1775.4</v>
      </c>
      <c r="D100" s="4">
        <v>223700.4</v>
      </c>
      <c r="E100" s="4">
        <v>204250.49</v>
      </c>
      <c r="F100" s="7">
        <f>E100*100/D100</f>
        <v>91.30537540388842</v>
      </c>
      <c r="G100" s="4">
        <f>H100+O100+P100+Q100</f>
        <v>125874.60126085344</v>
      </c>
      <c r="H100" s="4">
        <f t="shared" si="2"/>
        <v>73053.92</v>
      </c>
      <c r="I100" s="4">
        <v>876.4</v>
      </c>
      <c r="J100" s="4">
        <v>1025.1</v>
      </c>
      <c r="K100" s="4"/>
      <c r="L100" s="4">
        <f>852.22+14061.12</f>
        <v>14913.34</v>
      </c>
      <c r="M100" s="4">
        <v>56239.08</v>
      </c>
      <c r="N100" s="15">
        <v>2.35</v>
      </c>
      <c r="O100" s="14">
        <f>N100*C100*12</f>
        <v>50066.280000000006</v>
      </c>
      <c r="P100" s="4">
        <f>201520.57/178236.42*C100</f>
        <v>2007.3317225402084</v>
      </c>
      <c r="Q100" s="4">
        <f t="shared" si="3"/>
        <v>747.0695383132133</v>
      </c>
      <c r="R100" s="4">
        <v>87565.09</v>
      </c>
    </row>
    <row r="101" spans="1:18" ht="12.75">
      <c r="A101" s="1"/>
      <c r="B101" s="5"/>
      <c r="C101" s="11"/>
      <c r="D101" s="4"/>
      <c r="E101" s="4"/>
      <c r="F101" s="7"/>
      <c r="G101" s="4"/>
      <c r="H101" s="4"/>
      <c r="I101" s="4"/>
      <c r="J101" s="4"/>
      <c r="K101" s="4"/>
      <c r="L101" s="4"/>
      <c r="M101" s="4"/>
      <c r="N101" s="15"/>
      <c r="O101" s="14"/>
      <c r="P101" s="4"/>
      <c r="Q101" s="4"/>
      <c r="R101" s="4"/>
    </row>
    <row r="102" spans="1:18" ht="12.75">
      <c r="A102" s="1" t="s">
        <v>14</v>
      </c>
      <c r="B102" s="5">
        <v>6</v>
      </c>
      <c r="C102" s="11">
        <v>2829.7</v>
      </c>
      <c r="D102" s="4">
        <v>115124.2</v>
      </c>
      <c r="E102" s="4">
        <v>85329.29</v>
      </c>
      <c r="F102" s="7">
        <f>E102*100/D102</f>
        <v>74.11933372826913</v>
      </c>
      <c r="G102" s="4">
        <f>H102+O102+P102+Q102</f>
        <v>131061.88441975719</v>
      </c>
      <c r="H102" s="4">
        <f t="shared" si="2"/>
        <v>80123.25</v>
      </c>
      <c r="I102" s="4"/>
      <c r="J102" s="4"/>
      <c r="K102" s="4"/>
      <c r="L102" s="4">
        <f>679.13+7470.4</f>
        <v>8149.53</v>
      </c>
      <c r="M102" s="4">
        <v>71973.72</v>
      </c>
      <c r="N102" s="15">
        <v>2.35</v>
      </c>
      <c r="O102" s="14">
        <f>N102*C102*7</f>
        <v>46548.565</v>
      </c>
      <c r="P102" s="4">
        <f>201520.57/178236.42*C102</f>
        <v>3199.3615947234575</v>
      </c>
      <c r="Q102" s="4">
        <f t="shared" si="3"/>
        <v>1190.7078250337388</v>
      </c>
      <c r="R102" s="4">
        <v>51907.93</v>
      </c>
    </row>
    <row r="103" spans="1:18" ht="12.75">
      <c r="A103" s="1"/>
      <c r="B103" s="5"/>
      <c r="C103" s="11"/>
      <c r="D103" s="4"/>
      <c r="E103" s="4"/>
      <c r="F103" s="7"/>
      <c r="G103" s="4"/>
      <c r="H103" s="4"/>
      <c r="I103" s="4"/>
      <c r="J103" s="4"/>
      <c r="K103" s="4"/>
      <c r="L103" s="4"/>
      <c r="M103" s="4"/>
      <c r="N103" s="15"/>
      <c r="O103" s="14"/>
      <c r="P103" s="4"/>
      <c r="Q103" s="4"/>
      <c r="R103" s="4"/>
    </row>
    <row r="104" spans="1:18" ht="12.75">
      <c r="A104" s="1" t="s">
        <v>14</v>
      </c>
      <c r="B104" s="5">
        <v>7</v>
      </c>
      <c r="C104" s="11">
        <v>3282.49</v>
      </c>
      <c r="D104" s="4">
        <v>334767.21</v>
      </c>
      <c r="E104" s="4">
        <v>294305.55</v>
      </c>
      <c r="F104" s="7">
        <f>E104*100/D104</f>
        <v>87.91349367818908</v>
      </c>
      <c r="G104" s="4">
        <f>H104+O104+P104+Q104</f>
        <v>363117.66748109646</v>
      </c>
      <c r="H104" s="4">
        <f t="shared" si="2"/>
        <v>285153.85</v>
      </c>
      <c r="I104" s="4">
        <v>1362.2</v>
      </c>
      <c r="J104" s="4">
        <v>1937.5</v>
      </c>
      <c r="K104" s="4">
        <v>4563</v>
      </c>
      <c r="L104" s="4">
        <f>1575.37+3354.89+25980.96+9246.11</f>
        <v>40157.33</v>
      </c>
      <c r="M104" s="4">
        <v>237133.82</v>
      </c>
      <c r="N104" s="15">
        <v>1.85</v>
      </c>
      <c r="O104" s="14">
        <f>N104*C104*12</f>
        <v>72871.27799999999</v>
      </c>
      <c r="P104" s="4">
        <f>201520.57/178236.42*C104</f>
        <v>3711.302414059371</v>
      </c>
      <c r="Q104" s="4">
        <f t="shared" si="3"/>
        <v>1381.2370670371406</v>
      </c>
      <c r="R104" s="4">
        <v>325718.67</v>
      </c>
    </row>
    <row r="105" spans="1:18" ht="12.75">
      <c r="A105" s="1"/>
      <c r="B105" s="5"/>
      <c r="C105" s="11"/>
      <c r="D105" s="4"/>
      <c r="E105" s="4"/>
      <c r="F105" s="7"/>
      <c r="G105" s="4"/>
      <c r="H105" s="4"/>
      <c r="I105" s="4"/>
      <c r="J105" s="4"/>
      <c r="K105" s="4"/>
      <c r="L105" s="4"/>
      <c r="M105" s="4"/>
      <c r="N105" s="15"/>
      <c r="O105" s="14"/>
      <c r="P105" s="4"/>
      <c r="Q105" s="4"/>
      <c r="R105" s="4"/>
    </row>
    <row r="106" spans="1:18" ht="12.75">
      <c r="A106" s="1" t="s">
        <v>14</v>
      </c>
      <c r="B106" s="5">
        <v>8</v>
      </c>
      <c r="C106" s="11">
        <v>5307.7</v>
      </c>
      <c r="D106" s="4">
        <v>668464.37</v>
      </c>
      <c r="E106" s="4">
        <v>611470.6</v>
      </c>
      <c r="F106" s="7">
        <f>E106*100/D106</f>
        <v>91.47392552874584</v>
      </c>
      <c r="G106" s="4">
        <f>H106+O106+P106+Q106</f>
        <v>526595.4524063488</v>
      </c>
      <c r="H106" s="4">
        <f t="shared" si="2"/>
        <v>368683.81</v>
      </c>
      <c r="I106" s="4">
        <v>2158.8</v>
      </c>
      <c r="J106" s="4">
        <v>2607.96</v>
      </c>
      <c r="K106" s="4">
        <v>12168</v>
      </c>
      <c r="L106" s="4">
        <f>42010.08+2546.05</f>
        <v>44556.130000000005</v>
      </c>
      <c r="M106" s="4">
        <v>307192.92</v>
      </c>
      <c r="N106" s="15">
        <v>2.35</v>
      </c>
      <c r="O106" s="14">
        <f>N106*C106*12</f>
        <v>149677.13999999998</v>
      </c>
      <c r="P106" s="4">
        <f>201520.57/178236.42*C106</f>
        <v>6001.078395700497</v>
      </c>
      <c r="Q106" s="4">
        <f t="shared" si="3"/>
        <v>2233.4240106483285</v>
      </c>
      <c r="R106" s="4">
        <v>221194.81</v>
      </c>
    </row>
    <row r="107" spans="1:18" ht="12.75">
      <c r="A107" s="1"/>
      <c r="B107" s="5"/>
      <c r="C107" s="11"/>
      <c r="D107" s="4"/>
      <c r="E107" s="4"/>
      <c r="F107" s="7"/>
      <c r="G107" s="4"/>
      <c r="H107" s="4"/>
      <c r="I107" s="4"/>
      <c r="J107" s="4"/>
      <c r="K107" s="4"/>
      <c r="L107" s="4"/>
      <c r="M107" s="4"/>
      <c r="N107" s="15"/>
      <c r="O107" s="14"/>
      <c r="P107" s="4"/>
      <c r="Q107" s="4"/>
      <c r="R107" s="4"/>
    </row>
    <row r="108" spans="1:18" ht="12.75">
      <c r="A108" s="1" t="s">
        <v>14</v>
      </c>
      <c r="B108" s="5">
        <v>9</v>
      </c>
      <c r="C108" s="11">
        <v>4556.9</v>
      </c>
      <c r="D108" s="4">
        <v>464772.32</v>
      </c>
      <c r="E108" s="4">
        <v>425325.92</v>
      </c>
      <c r="F108" s="7">
        <f>E108*100/D108</f>
        <v>91.51274757498467</v>
      </c>
      <c r="G108" s="4">
        <f>H108+O108+P108+Q108</f>
        <v>412248.3419598867</v>
      </c>
      <c r="H108" s="4">
        <f t="shared" si="2"/>
        <v>304015.47</v>
      </c>
      <c r="I108" s="4">
        <v>1713.6</v>
      </c>
      <c r="J108" s="4">
        <v>2697.24</v>
      </c>
      <c r="K108" s="4">
        <v>5382</v>
      </c>
      <c r="L108" s="4">
        <f>36083.52+4657.96+12834</f>
        <v>53575.479999999996</v>
      </c>
      <c r="M108" s="4">
        <v>240647.15</v>
      </c>
      <c r="N108" s="15">
        <v>1.85</v>
      </c>
      <c r="O108" s="14">
        <f>N108*C108*12</f>
        <v>101163.18</v>
      </c>
      <c r="P108" s="4">
        <f>201520.57/178236.42*C108</f>
        <v>5152.196646639334</v>
      </c>
      <c r="Q108" s="4">
        <f t="shared" si="3"/>
        <v>1917.495313247427</v>
      </c>
      <c r="R108" s="4">
        <v>306201.86</v>
      </c>
    </row>
    <row r="109" spans="1:18" ht="12.75">
      <c r="A109" s="1"/>
      <c r="B109" s="5"/>
      <c r="C109" s="11"/>
      <c r="D109" s="4"/>
      <c r="E109" s="4"/>
      <c r="F109" s="7"/>
      <c r="G109" s="4"/>
      <c r="H109" s="4"/>
      <c r="I109" s="4"/>
      <c r="J109" s="4"/>
      <c r="K109" s="4"/>
      <c r="L109" s="4"/>
      <c r="M109" s="4"/>
      <c r="N109" s="15"/>
      <c r="O109" s="14"/>
      <c r="P109" s="4"/>
      <c r="Q109" s="4"/>
      <c r="R109" s="4"/>
    </row>
    <row r="110" spans="1:18" ht="12.75">
      <c r="A110" s="1" t="s">
        <v>14</v>
      </c>
      <c r="B110" s="5">
        <v>11</v>
      </c>
      <c r="C110" s="11">
        <v>3264.2</v>
      </c>
      <c r="D110" s="4">
        <v>324707</v>
      </c>
      <c r="E110" s="4">
        <v>282482.54</v>
      </c>
      <c r="F110" s="7">
        <f>E110*100/D110</f>
        <v>86.99613497707162</v>
      </c>
      <c r="G110" s="4">
        <f>H110+O110+P110+Q110</f>
        <v>261964.06390429073</v>
      </c>
      <c r="H110" s="4">
        <f t="shared" si="2"/>
        <v>184434.66</v>
      </c>
      <c r="I110" s="4">
        <v>1237.6</v>
      </c>
      <c r="J110" s="4">
        <v>2022.3</v>
      </c>
      <c r="K110" s="4">
        <v>4563</v>
      </c>
      <c r="L110" s="4">
        <f>1566.59+25943.52+3336.37+9194.6</f>
        <v>40041.08</v>
      </c>
      <c r="M110" s="4">
        <v>136570.68</v>
      </c>
      <c r="N110" s="15">
        <v>1.85</v>
      </c>
      <c r="O110" s="14">
        <f>N110*C110*12</f>
        <v>72465.23999999999</v>
      </c>
      <c r="P110" s="4">
        <f>201520.57/178236.42*C110</f>
        <v>3690.6230757664453</v>
      </c>
      <c r="Q110" s="4">
        <f t="shared" si="3"/>
        <v>1373.540828524271</v>
      </c>
      <c r="R110" s="4">
        <v>355538.12</v>
      </c>
    </row>
    <row r="111" spans="1:18" ht="12.75">
      <c r="A111" s="1"/>
      <c r="B111" s="5"/>
      <c r="C111" s="11"/>
      <c r="D111" s="4"/>
      <c r="E111" s="4"/>
      <c r="F111" s="7"/>
      <c r="G111" s="4"/>
      <c r="H111" s="4"/>
      <c r="I111" s="4"/>
      <c r="J111" s="4"/>
      <c r="K111" s="4"/>
      <c r="L111" s="4"/>
      <c r="M111" s="4"/>
      <c r="N111" s="15"/>
      <c r="O111" s="14"/>
      <c r="P111" s="4"/>
      <c r="Q111" s="4"/>
      <c r="R111" s="4"/>
    </row>
    <row r="112" spans="1:18" ht="12.75">
      <c r="A112" s="1" t="s">
        <v>14</v>
      </c>
      <c r="B112" s="66" t="s">
        <v>15</v>
      </c>
      <c r="C112" s="11">
        <v>642.3</v>
      </c>
      <c r="D112" s="4">
        <v>54254.77</v>
      </c>
      <c r="E112" s="4">
        <v>47908</v>
      </c>
      <c r="F112" s="7">
        <f>E112*100/D112</f>
        <v>88.30191336171917</v>
      </c>
      <c r="G112" s="4">
        <f>H112+O112+P112+Q112</f>
        <v>58177.17075354633</v>
      </c>
      <c r="H112" s="4">
        <f t="shared" si="2"/>
        <v>39067.83</v>
      </c>
      <c r="I112" s="4">
        <v>343</v>
      </c>
      <c r="J112" s="4">
        <v>348.5</v>
      </c>
      <c r="K112" s="4">
        <f>0</f>
        <v>0</v>
      </c>
      <c r="L112" s="4">
        <f>5088.6+308.4+491.99+164.81+1810.52</f>
        <v>7864.32</v>
      </c>
      <c r="M112" s="4">
        <v>30512.01</v>
      </c>
      <c r="N112" s="15">
        <v>2.35</v>
      </c>
      <c r="O112" s="14">
        <f>N112*C112*12</f>
        <v>18112.86</v>
      </c>
      <c r="P112" s="4">
        <f>201520.57/178236.42*C112</f>
        <v>726.2077083404166</v>
      </c>
      <c r="Q112" s="4">
        <f t="shared" si="3"/>
        <v>270.27304520591247</v>
      </c>
      <c r="R112" s="4">
        <v>15153.92</v>
      </c>
    </row>
    <row r="113" spans="1:18" ht="12.75">
      <c r="A113" s="1"/>
      <c r="B113" s="5"/>
      <c r="C113" s="11"/>
      <c r="D113" s="4"/>
      <c r="E113" s="4"/>
      <c r="F113" s="7"/>
      <c r="G113" s="4"/>
      <c r="H113" s="4"/>
      <c r="I113" s="4"/>
      <c r="J113" s="4"/>
      <c r="K113" s="4"/>
      <c r="L113" s="4"/>
      <c r="M113" s="4"/>
      <c r="N113" s="15"/>
      <c r="O113" s="14"/>
      <c r="P113" s="4"/>
      <c r="Q113" s="4"/>
      <c r="R113" s="4"/>
    </row>
    <row r="114" spans="1:18" ht="12.75">
      <c r="A114" s="33" t="s">
        <v>14</v>
      </c>
      <c r="B114" s="63">
        <v>13</v>
      </c>
      <c r="C114" s="11">
        <v>3413.12</v>
      </c>
      <c r="D114" s="4">
        <v>389914.44</v>
      </c>
      <c r="E114" s="4">
        <v>356780.87</v>
      </c>
      <c r="F114" s="7">
        <f>E114*100/D114</f>
        <v>91.50234856652142</v>
      </c>
      <c r="G114" s="4">
        <f>H114+O114+P114+Q114</f>
        <v>295343.3206256641</v>
      </c>
      <c r="H114" s="4">
        <f t="shared" si="2"/>
        <v>203627.91999999998</v>
      </c>
      <c r="I114" s="4">
        <v>1407</v>
      </c>
      <c r="J114" s="4">
        <v>2178.3</v>
      </c>
      <c r="K114" s="4">
        <v>5031</v>
      </c>
      <c r="L114" s="4">
        <f>1638.27+27172.92</f>
        <v>28811.19</v>
      </c>
      <c r="M114" s="4">
        <f>148152.43+18048</f>
        <v>166200.43</v>
      </c>
      <c r="N114" s="15">
        <v>2.11</v>
      </c>
      <c r="O114" s="14">
        <f>N114*C114*12</f>
        <v>86420.1984</v>
      </c>
      <c r="P114" s="4">
        <f>201520.57/178236.42*C114</f>
        <v>3858.9974365418693</v>
      </c>
      <c r="Q114" s="4">
        <f t="shared" si="3"/>
        <v>1436.204789122223</v>
      </c>
      <c r="R114" s="4">
        <v>234823.35</v>
      </c>
    </row>
    <row r="115" spans="1:18" ht="12.75">
      <c r="A115" s="1"/>
      <c r="B115" s="5"/>
      <c r="C115" s="11"/>
      <c r="D115" s="4"/>
      <c r="E115" s="4"/>
      <c r="F115" s="7"/>
      <c r="G115" s="4"/>
      <c r="H115" s="4"/>
      <c r="I115" s="4"/>
      <c r="J115" s="4"/>
      <c r="K115" s="4"/>
      <c r="L115" s="4"/>
      <c r="M115" s="4"/>
      <c r="N115" s="15"/>
      <c r="O115" s="14"/>
      <c r="P115" s="4"/>
      <c r="Q115" s="4"/>
      <c r="R115" s="4"/>
    </row>
    <row r="116" spans="1:18" ht="12.75">
      <c r="A116" s="1" t="s">
        <v>14</v>
      </c>
      <c r="B116" s="66" t="s">
        <v>16</v>
      </c>
      <c r="C116" s="11">
        <v>388.1</v>
      </c>
      <c r="D116" s="4">
        <v>46929.09</v>
      </c>
      <c r="E116" s="4">
        <v>43932.94</v>
      </c>
      <c r="F116" s="7">
        <f>E116*100/D116</f>
        <v>93.61558044274885</v>
      </c>
      <c r="G116" s="4">
        <f>H116+O116+P116+Q116</f>
        <v>72745.65833014376</v>
      </c>
      <c r="H116" s="4">
        <f t="shared" si="2"/>
        <v>61199.13</v>
      </c>
      <c r="I116" s="4"/>
      <c r="J116" s="4">
        <v>158.29</v>
      </c>
      <c r="K116" s="4"/>
      <c r="L116" s="4">
        <f>186.26+3012.72</f>
        <v>3198.9799999999996</v>
      </c>
      <c r="M116" s="4">
        <v>57841.86</v>
      </c>
      <c r="N116" s="15">
        <v>2.35</v>
      </c>
      <c r="O116" s="14">
        <f>N116*C116*12</f>
        <v>10944.420000000002</v>
      </c>
      <c r="P116" s="4">
        <f>201520.57/178236.42*C116</f>
        <v>438.79995579466873</v>
      </c>
      <c r="Q116" s="4">
        <f t="shared" si="3"/>
        <v>163.30837434908082</v>
      </c>
      <c r="R116" s="4">
        <v>30323.19</v>
      </c>
    </row>
    <row r="117" spans="1:18" ht="12.75">
      <c r="A117" s="1"/>
      <c r="B117" s="5"/>
      <c r="C117" s="11"/>
      <c r="D117" s="4"/>
      <c r="E117" s="4"/>
      <c r="F117" s="7"/>
      <c r="G117" s="4"/>
      <c r="H117" s="4"/>
      <c r="I117" s="4"/>
      <c r="J117" s="4"/>
      <c r="K117" s="4"/>
      <c r="L117" s="4"/>
      <c r="M117" s="4"/>
      <c r="N117" s="15"/>
      <c r="O117" s="14"/>
      <c r="P117" s="4"/>
      <c r="Q117" s="4"/>
      <c r="R117" s="4"/>
    </row>
    <row r="118" spans="1:18" ht="12.75">
      <c r="A118" s="1" t="s">
        <v>14</v>
      </c>
      <c r="B118" s="5" t="s">
        <v>9</v>
      </c>
      <c r="C118" s="11">
        <v>838.2</v>
      </c>
      <c r="D118" s="4">
        <v>100659.97</v>
      </c>
      <c r="E118" s="4">
        <v>92527.5</v>
      </c>
      <c r="F118" s="7">
        <f>E118*100/D118</f>
        <v>91.92084996647624</v>
      </c>
      <c r="G118" s="4">
        <f>H118+O118+P118+Q118</f>
        <v>85361.21505623935</v>
      </c>
      <c r="H118" s="4">
        <f t="shared" si="2"/>
        <v>60423.57</v>
      </c>
      <c r="I118" s="4">
        <v>840</v>
      </c>
      <c r="J118" s="4">
        <v>502</v>
      </c>
      <c r="K118" s="4"/>
      <c r="L118" s="4">
        <f>6638.52+402.35</f>
        <v>7040.870000000001</v>
      </c>
      <c r="M118" s="4">
        <v>52040.7</v>
      </c>
      <c r="N118" s="15">
        <v>2.35</v>
      </c>
      <c r="O118" s="14">
        <f>N118*C118*12</f>
        <v>23637.24</v>
      </c>
      <c r="P118" s="4">
        <f>201520.57/178236.42*C118</f>
        <v>947.6993634297638</v>
      </c>
      <c r="Q118" s="4">
        <f t="shared" si="3"/>
        <v>352.70569280958404</v>
      </c>
      <c r="R118" s="4">
        <v>47496.52</v>
      </c>
    </row>
    <row r="119" spans="1:18" ht="12.75">
      <c r="A119" s="1"/>
      <c r="B119" s="5"/>
      <c r="C119" s="11"/>
      <c r="D119" s="4"/>
      <c r="E119" s="4"/>
      <c r="F119" s="7"/>
      <c r="G119" s="4"/>
      <c r="H119" s="4"/>
      <c r="I119" s="4"/>
      <c r="J119" s="4"/>
      <c r="K119" s="4"/>
      <c r="L119" s="4"/>
      <c r="M119" s="4"/>
      <c r="N119" s="15"/>
      <c r="O119" s="14"/>
      <c r="P119" s="4"/>
      <c r="Q119" s="4"/>
      <c r="R119" s="4"/>
    </row>
    <row r="120" spans="1:18" ht="12.75">
      <c r="A120" s="1" t="s">
        <v>14</v>
      </c>
      <c r="B120" s="5">
        <v>16</v>
      </c>
      <c r="C120" s="11">
        <v>894.3</v>
      </c>
      <c r="D120" s="4">
        <v>106615.67</v>
      </c>
      <c r="E120" s="4">
        <v>99348.11</v>
      </c>
      <c r="F120" s="7">
        <f>E120*100/D120</f>
        <v>93.18340352783038</v>
      </c>
      <c r="G120" s="4">
        <f>H120+O120+P120+Q120</f>
        <v>70468.43004031837</v>
      </c>
      <c r="H120" s="4">
        <f t="shared" si="2"/>
        <v>43861.73</v>
      </c>
      <c r="I120" s="4"/>
      <c r="J120" s="4">
        <v>456.34</v>
      </c>
      <c r="K120" s="4"/>
      <c r="L120" s="4">
        <f>431.74+7081.32</f>
        <v>7513.0599999999995</v>
      </c>
      <c r="M120" s="4">
        <v>35892.33</v>
      </c>
      <c r="N120" s="15">
        <v>2.35</v>
      </c>
      <c r="O120" s="14">
        <f>N120*C120*12</f>
        <v>25219.260000000002</v>
      </c>
      <c r="P120" s="4">
        <f>201520.57/178236.42*C120</f>
        <v>1011.1280609821495</v>
      </c>
      <c r="Q120" s="4">
        <f t="shared" si="3"/>
        <v>376.31197933620973</v>
      </c>
      <c r="R120" s="4">
        <v>42489.81</v>
      </c>
    </row>
    <row r="121" spans="1:18" ht="12.75">
      <c r="A121" s="1"/>
      <c r="B121" s="5"/>
      <c r="C121" s="11"/>
      <c r="D121" s="4"/>
      <c r="E121" s="4"/>
      <c r="F121" s="7"/>
      <c r="G121" s="4"/>
      <c r="H121" s="4"/>
      <c r="I121" s="4"/>
      <c r="J121" s="4"/>
      <c r="K121" s="4"/>
      <c r="L121" s="4"/>
      <c r="M121" s="4"/>
      <c r="N121" s="15"/>
      <c r="O121" s="14"/>
      <c r="P121" s="4"/>
      <c r="Q121" s="4"/>
      <c r="R121" s="4"/>
    </row>
    <row r="122" spans="1:18" ht="12.75">
      <c r="A122" s="1" t="s">
        <v>14</v>
      </c>
      <c r="B122" s="5">
        <v>17</v>
      </c>
      <c r="C122" s="11">
        <v>996.5</v>
      </c>
      <c r="D122" s="4">
        <v>119789.57</v>
      </c>
      <c r="E122" s="4">
        <v>113750.41</v>
      </c>
      <c r="F122" s="7">
        <f>E122*100/D122</f>
        <v>94.95852602192328</v>
      </c>
      <c r="G122" s="4">
        <f>H122+O122+P122+Q122</f>
        <v>81628.5057510648</v>
      </c>
      <c r="H122" s="4">
        <f t="shared" si="2"/>
        <v>51981.21000000001</v>
      </c>
      <c r="I122" s="4"/>
      <c r="J122" s="4">
        <v>522.96</v>
      </c>
      <c r="K122" s="4"/>
      <c r="L122" s="4">
        <f>478.32+7801.2</f>
        <v>8279.52</v>
      </c>
      <c r="M122" s="4">
        <v>43178.73</v>
      </c>
      <c r="N122" s="15">
        <v>2.35</v>
      </c>
      <c r="O122" s="14">
        <f>N122*C122*12</f>
        <v>28101.300000000003</v>
      </c>
      <c r="P122" s="4">
        <f>201520.57/178236.42*C122</f>
        <v>1126.6790928868522</v>
      </c>
      <c r="Q122" s="4">
        <f t="shared" si="3"/>
        <v>419.3166581779414</v>
      </c>
      <c r="R122" s="4">
        <v>39177.58</v>
      </c>
    </row>
    <row r="123" spans="1:18" ht="12.75">
      <c r="A123" s="1"/>
      <c r="B123" s="5"/>
      <c r="C123" s="11"/>
      <c r="D123" s="4"/>
      <c r="E123" s="4"/>
      <c r="F123" s="7"/>
      <c r="G123" s="4"/>
      <c r="H123" s="4"/>
      <c r="I123" s="4"/>
      <c r="J123" s="4"/>
      <c r="K123" s="4"/>
      <c r="L123" s="4"/>
      <c r="M123" s="4"/>
      <c r="N123" s="15"/>
      <c r="O123" s="14"/>
      <c r="P123" s="4"/>
      <c r="Q123" s="4"/>
      <c r="R123" s="4"/>
    </row>
    <row r="124" spans="1:18" ht="12.75">
      <c r="A124" s="1" t="s">
        <v>14</v>
      </c>
      <c r="B124" s="5">
        <v>19</v>
      </c>
      <c r="C124" s="11">
        <v>865</v>
      </c>
      <c r="D124" s="4">
        <f>73905.84+51091.8</f>
        <v>124997.64</v>
      </c>
      <c r="E124" s="4">
        <f>67313.65+46896.18</f>
        <v>114209.82999999999</v>
      </c>
      <c r="F124" s="7">
        <f>E124*100/D124</f>
        <v>91.3695890578414</v>
      </c>
      <c r="G124" s="4">
        <f>H124+O124+P124+Q124</f>
        <v>139262.49326610236</v>
      </c>
      <c r="H124" s="4">
        <f t="shared" si="2"/>
        <v>123388.50999999998</v>
      </c>
      <c r="I124" s="4">
        <v>525.56</v>
      </c>
      <c r="J124" s="4">
        <v>380.42</v>
      </c>
      <c r="K124" s="4"/>
      <c r="L124" s="4">
        <f>6850.8+415.2</f>
        <v>7266</v>
      </c>
      <c r="M124" s="4">
        <f>114115.79+680.31+420.43</f>
        <v>115216.52999999998</v>
      </c>
      <c r="N124" s="15">
        <v>1.4</v>
      </c>
      <c r="O124" s="14">
        <f>N124*C124*12</f>
        <v>14532</v>
      </c>
      <c r="P124" s="4">
        <f>201520.57/178236.42*C124</f>
        <v>978.000416805948</v>
      </c>
      <c r="Q124" s="4">
        <f t="shared" si="3"/>
        <v>363.9828492964569</v>
      </c>
      <c r="R124" s="4">
        <v>57680.52</v>
      </c>
    </row>
    <row r="125" spans="1:18" ht="12.75">
      <c r="A125" s="1"/>
      <c r="B125" s="5"/>
      <c r="C125" s="11"/>
      <c r="D125" s="4"/>
      <c r="E125" s="4"/>
      <c r="F125" s="7"/>
      <c r="G125" s="4"/>
      <c r="H125" s="4"/>
      <c r="I125" s="4"/>
      <c r="J125" s="4"/>
      <c r="K125" s="4"/>
      <c r="L125" s="4"/>
      <c r="M125" s="4"/>
      <c r="N125" s="15"/>
      <c r="O125" s="14"/>
      <c r="P125" s="4"/>
      <c r="Q125" s="4"/>
      <c r="R125" s="4"/>
    </row>
    <row r="126" spans="1:18" ht="12.75">
      <c r="A126" s="1" t="s">
        <v>14</v>
      </c>
      <c r="B126" s="5">
        <v>20</v>
      </c>
      <c r="C126" s="11">
        <v>2788</v>
      </c>
      <c r="D126" s="4">
        <v>237925.62</v>
      </c>
      <c r="E126" s="4">
        <v>204401</v>
      </c>
      <c r="F126" s="7">
        <f>E126*100/D126</f>
        <v>85.90962167083983</v>
      </c>
      <c r="G126" s="4">
        <f>H126+O126+P126+Q126</f>
        <v>233009.17496635084</v>
      </c>
      <c r="H126" s="4">
        <f t="shared" si="2"/>
        <v>181845.4</v>
      </c>
      <c r="I126" s="4">
        <v>1352.4</v>
      </c>
      <c r="J126" s="4"/>
      <c r="K126" s="4"/>
      <c r="L126" s="4">
        <f>21969.24+1332.26</f>
        <v>23301.5</v>
      </c>
      <c r="M126" s="4">
        <v>157191.5</v>
      </c>
      <c r="N126" s="15">
        <v>1.4</v>
      </c>
      <c r="O126" s="14">
        <f>N126*C126*12</f>
        <v>46838.399999999994</v>
      </c>
      <c r="P126" s="4">
        <f>201520.57/178236.42*C126</f>
        <v>3152.214060179171</v>
      </c>
      <c r="Q126" s="4">
        <f t="shared" si="3"/>
        <v>1173.1609061717015</v>
      </c>
      <c r="R126" s="4">
        <v>347324.25</v>
      </c>
    </row>
    <row r="127" spans="1:18" ht="12.75">
      <c r="A127" s="1"/>
      <c r="B127" s="5"/>
      <c r="C127" s="11"/>
      <c r="D127" s="4"/>
      <c r="E127" s="4"/>
      <c r="F127" s="7"/>
      <c r="G127" s="4"/>
      <c r="H127" s="4"/>
      <c r="I127" s="4"/>
      <c r="J127" s="4"/>
      <c r="K127" s="4"/>
      <c r="L127" s="4"/>
      <c r="M127" s="4"/>
      <c r="N127" s="15"/>
      <c r="O127" s="14"/>
      <c r="P127" s="4"/>
      <c r="Q127" s="4"/>
      <c r="R127" s="4"/>
    </row>
    <row r="128" spans="1:18" ht="12.75">
      <c r="A128" s="1" t="s">
        <v>14</v>
      </c>
      <c r="B128" s="63">
        <v>21</v>
      </c>
      <c r="C128" s="11">
        <v>1296.6</v>
      </c>
      <c r="D128" s="4">
        <v>148123.44</v>
      </c>
      <c r="E128" s="4">
        <v>126601.3</v>
      </c>
      <c r="F128" s="7">
        <f>E128*100/D128</f>
        <v>85.47013220864976</v>
      </c>
      <c r="G128" s="4">
        <f>H128+O128+P128+Q128</f>
        <v>111768.51061598655</v>
      </c>
      <c r="H128" s="4">
        <f t="shared" si="2"/>
        <v>76927.02</v>
      </c>
      <c r="I128" s="4">
        <v>745.64</v>
      </c>
      <c r="J128" s="4">
        <v>692</v>
      </c>
      <c r="K128" s="4"/>
      <c r="L128" s="4">
        <f>622.34+10269.12</f>
        <v>10891.460000000001</v>
      </c>
      <c r="M128" s="4">
        <f>64597.92</f>
        <v>64597.92</v>
      </c>
      <c r="N128" s="15">
        <v>2.11</v>
      </c>
      <c r="O128" s="14">
        <f>N128*C128*12</f>
        <v>32829.912</v>
      </c>
      <c r="P128" s="4">
        <f>201520.57/178236.42*C128</f>
        <v>1465.9830525209156</v>
      </c>
      <c r="Q128" s="4">
        <f t="shared" si="3"/>
        <v>545.5955634656485</v>
      </c>
      <c r="R128" s="4">
        <v>144694.73</v>
      </c>
    </row>
    <row r="129" spans="1:18" ht="12.75">
      <c r="A129" s="1"/>
      <c r="B129" s="5"/>
      <c r="C129" s="11"/>
      <c r="D129" s="4"/>
      <c r="E129" s="4"/>
      <c r="F129" s="7"/>
      <c r="G129" s="4"/>
      <c r="H129" s="4"/>
      <c r="I129" s="4"/>
      <c r="J129" s="4"/>
      <c r="K129" s="4"/>
      <c r="L129" s="4"/>
      <c r="M129" s="4"/>
      <c r="N129" s="15"/>
      <c r="O129" s="14"/>
      <c r="P129" s="4"/>
      <c r="Q129" s="4"/>
      <c r="R129" s="4"/>
    </row>
    <row r="130" spans="1:18" ht="12.75">
      <c r="A130" s="1" t="s">
        <v>2</v>
      </c>
      <c r="B130" s="5">
        <v>108</v>
      </c>
      <c r="C130" s="11">
        <v>2190.7</v>
      </c>
      <c r="D130" s="4">
        <v>223451.4</v>
      </c>
      <c r="E130" s="4">
        <v>208102.4</v>
      </c>
      <c r="F130" s="7">
        <f>E130*100/D130</f>
        <v>93.13094480500011</v>
      </c>
      <c r="G130" s="4">
        <f>H130+O130+P130+Q130</f>
        <v>148253.74837115672</v>
      </c>
      <c r="H130" s="4">
        <f t="shared" si="2"/>
        <v>96221.5</v>
      </c>
      <c r="I130" s="4">
        <v>802.2</v>
      </c>
      <c r="J130" s="4">
        <v>1247.97</v>
      </c>
      <c r="K130" s="4">
        <v>2691</v>
      </c>
      <c r="L130" s="4">
        <f>17355.84+1051.57</f>
        <v>18407.41</v>
      </c>
      <c r="M130" s="4">
        <v>73072.92</v>
      </c>
      <c r="N130" s="15">
        <v>1.85</v>
      </c>
      <c r="O130" s="14">
        <f>N130*C130*12</f>
        <v>48633.54</v>
      </c>
      <c r="P130" s="4">
        <f>201520.57/178236.42*C130</f>
        <v>2476.884986239064</v>
      </c>
      <c r="Q130" s="4">
        <f t="shared" si="3"/>
        <v>921.8233849176279</v>
      </c>
      <c r="R130" s="4">
        <v>123308.09</v>
      </c>
    </row>
    <row r="131" spans="1:18" ht="12.75">
      <c r="A131" s="1"/>
      <c r="B131" s="5"/>
      <c r="C131" s="11"/>
      <c r="D131" s="4"/>
      <c r="E131" s="4"/>
      <c r="F131" s="7"/>
      <c r="G131" s="4"/>
      <c r="H131" s="4"/>
      <c r="I131" s="4"/>
      <c r="J131" s="4"/>
      <c r="K131" s="4"/>
      <c r="L131" s="4"/>
      <c r="M131" s="4"/>
      <c r="N131" s="15"/>
      <c r="O131" s="14"/>
      <c r="P131" s="4"/>
      <c r="Q131" s="4"/>
      <c r="R131" s="4"/>
    </row>
    <row r="132" spans="1:18" ht="12.75">
      <c r="A132" s="1" t="s">
        <v>2</v>
      </c>
      <c r="B132" s="5">
        <v>110</v>
      </c>
      <c r="C132" s="11">
        <v>5546.09</v>
      </c>
      <c r="D132" s="4">
        <v>565735.14</v>
      </c>
      <c r="E132" s="4">
        <v>519034.02</v>
      </c>
      <c r="F132" s="7">
        <f>E132*100/D132</f>
        <v>91.74505582241187</v>
      </c>
      <c r="G132" s="4">
        <f>H132+O132+P132+Q132</f>
        <v>554333.2247887837</v>
      </c>
      <c r="H132" s="4">
        <f t="shared" si="2"/>
        <v>422605.68</v>
      </c>
      <c r="I132" s="4">
        <v>2070.6</v>
      </c>
      <c r="J132" s="4">
        <v>2620.25</v>
      </c>
      <c r="K132" s="4">
        <v>8190</v>
      </c>
      <c r="L132" s="4">
        <f>2662.18+43939.08</f>
        <v>46601.26</v>
      </c>
      <c r="M132" s="4">
        <v>363123.57</v>
      </c>
      <c r="N132" s="15">
        <v>1.85</v>
      </c>
      <c r="O132" s="14">
        <f>N132*C132*12</f>
        <v>123123.19800000002</v>
      </c>
      <c r="P132" s="4">
        <f>201520.57/178236.42*C132</f>
        <v>6270.6107880269365</v>
      </c>
      <c r="Q132" s="4">
        <f t="shared" si="3"/>
        <v>2333.7360007567477</v>
      </c>
      <c r="R132" s="4">
        <v>382281.72</v>
      </c>
    </row>
    <row r="133" spans="1:18" ht="12.75">
      <c r="A133" s="1"/>
      <c r="B133" s="5"/>
      <c r="C133" s="11"/>
      <c r="D133" s="4"/>
      <c r="E133" s="4"/>
      <c r="F133" s="7"/>
      <c r="G133" s="4"/>
      <c r="H133" s="4"/>
      <c r="I133" s="4"/>
      <c r="J133" s="4"/>
      <c r="K133" s="4"/>
      <c r="L133" s="4"/>
      <c r="M133" s="4"/>
      <c r="N133" s="15"/>
      <c r="O133" s="14"/>
      <c r="P133" s="4"/>
      <c r="Q133" s="4"/>
      <c r="R133" s="4"/>
    </row>
    <row r="134" spans="1:18" ht="12.75">
      <c r="A134" s="1" t="s">
        <v>3</v>
      </c>
      <c r="B134" s="5">
        <v>2</v>
      </c>
      <c r="C134" s="11">
        <v>1206.4</v>
      </c>
      <c r="D134" s="4">
        <v>103075.08</v>
      </c>
      <c r="E134" s="4">
        <v>90184.59</v>
      </c>
      <c r="F134" s="7">
        <f>E134*100/D134</f>
        <v>87.49407713290157</v>
      </c>
      <c r="G134" s="4">
        <f>H134+O134+P134+Q134</f>
        <v>160760.01001413402</v>
      </c>
      <c r="H134" s="4">
        <f t="shared" si="2"/>
        <v>138620.85</v>
      </c>
      <c r="I134" s="4">
        <v>882</v>
      </c>
      <c r="J134" s="4">
        <v>637.46</v>
      </c>
      <c r="K134" s="4"/>
      <c r="L134" s="4">
        <f>580.67+9580.8</f>
        <v>10161.47</v>
      </c>
      <c r="M134" s="4">
        <v>126939.92</v>
      </c>
      <c r="N134" s="15">
        <v>1.4</v>
      </c>
      <c r="O134" s="14">
        <f>N134*C134*12</f>
        <v>20267.52</v>
      </c>
      <c r="P134" s="4">
        <f>201520.57/178236.42*C134</f>
        <v>1363.9996564562957</v>
      </c>
      <c r="Q134" s="4">
        <f t="shared" si="3"/>
        <v>507.64035767774055</v>
      </c>
      <c r="R134" s="4">
        <v>110952.29</v>
      </c>
    </row>
    <row r="135" spans="1:18" ht="12.75">
      <c r="A135" s="1"/>
      <c r="B135" s="5"/>
      <c r="C135" s="11"/>
      <c r="D135" s="4"/>
      <c r="E135" s="4"/>
      <c r="F135" s="7"/>
      <c r="G135" s="4"/>
      <c r="H135" s="4"/>
      <c r="I135" s="4"/>
      <c r="J135" s="4"/>
      <c r="K135" s="4"/>
      <c r="L135" s="4"/>
      <c r="M135" s="4"/>
      <c r="N135" s="15"/>
      <c r="O135" s="14"/>
      <c r="P135" s="4"/>
      <c r="Q135" s="4"/>
      <c r="R135" s="4"/>
    </row>
    <row r="136" spans="1:18" ht="12.75">
      <c r="A136" s="1" t="s">
        <v>3</v>
      </c>
      <c r="B136" s="5" t="s">
        <v>18</v>
      </c>
      <c r="C136" s="11">
        <v>466</v>
      </c>
      <c r="D136" s="4">
        <v>36429.48</v>
      </c>
      <c r="E136" s="4">
        <v>31050.45</v>
      </c>
      <c r="F136" s="7">
        <f>E136*100/D136</f>
        <v>85.234403565464</v>
      </c>
      <c r="G136" s="4">
        <f>H136+O136+P136+Q136</f>
        <v>31953.054395380022</v>
      </c>
      <c r="H136" s="4">
        <f t="shared" si="2"/>
        <v>23401.29</v>
      </c>
      <c r="I136" s="4"/>
      <c r="J136" s="4">
        <v>247.6</v>
      </c>
      <c r="K136" s="4"/>
      <c r="L136" s="4">
        <f>223.7+3691.56</f>
        <v>3915.2599999999998</v>
      </c>
      <c r="M136" s="4">
        <v>19238.43</v>
      </c>
      <c r="N136" s="15">
        <v>1.4</v>
      </c>
      <c r="O136" s="14">
        <f>N136*C136*12</f>
        <v>7828.799999999999</v>
      </c>
      <c r="P136" s="4">
        <f>201520.57/178236.42*C136</f>
        <v>526.8765251232044</v>
      </c>
      <c r="Q136" s="4">
        <f t="shared" si="3"/>
        <v>196.08787025681954</v>
      </c>
      <c r="R136" s="4">
        <v>99598.35</v>
      </c>
    </row>
    <row r="137" spans="1:18" ht="12.75">
      <c r="A137" s="1"/>
      <c r="B137" s="5"/>
      <c r="C137" s="11"/>
      <c r="D137" s="4"/>
      <c r="E137" s="4"/>
      <c r="F137" s="7"/>
      <c r="G137" s="4"/>
      <c r="H137" s="4"/>
      <c r="I137" s="4"/>
      <c r="J137" s="4"/>
      <c r="K137" s="4"/>
      <c r="L137" s="4"/>
      <c r="M137" s="4"/>
      <c r="N137" s="15"/>
      <c r="O137" s="14"/>
      <c r="P137" s="4"/>
      <c r="Q137" s="4"/>
      <c r="R137" s="4"/>
    </row>
    <row r="138" spans="1:18" ht="12.75">
      <c r="A138" s="1" t="s">
        <v>3</v>
      </c>
      <c r="B138" s="5">
        <v>4</v>
      </c>
      <c r="C138" s="11">
        <v>276.5</v>
      </c>
      <c r="D138" s="4">
        <v>16587.65</v>
      </c>
      <c r="E138" s="4">
        <v>14485.92</v>
      </c>
      <c r="F138" s="7">
        <f>E138*100/D138</f>
        <v>87.3295493936754</v>
      </c>
      <c r="G138" s="4">
        <f>H138+O138+P138+Q138</f>
        <v>13233.579217430422</v>
      </c>
      <c r="H138" s="4">
        <f aca="true" t="shared" si="4" ref="H138:H200">I138+J138+K138+L138+M138</f>
        <v>8789.83</v>
      </c>
      <c r="I138" s="4"/>
      <c r="J138" s="4"/>
      <c r="K138" s="4"/>
      <c r="L138" s="4">
        <f>132.72+2189.88</f>
        <v>2322.6</v>
      </c>
      <c r="M138" s="4">
        <v>6467.23</v>
      </c>
      <c r="N138" s="15">
        <v>1.21</v>
      </c>
      <c r="O138" s="14">
        <f>N138*C138*12</f>
        <v>4014.7799999999997</v>
      </c>
      <c r="P138" s="4">
        <f>201520.57/178236.42*C138</f>
        <v>312.6209424819013</v>
      </c>
      <c r="Q138" s="4">
        <f aca="true" t="shared" si="5" ref="Q138:Q200">C138*75000/178236.42</f>
        <v>116.34827494852061</v>
      </c>
      <c r="R138" s="4">
        <v>23136.91</v>
      </c>
    </row>
    <row r="139" spans="1:18" ht="12.75">
      <c r="A139" s="1"/>
      <c r="B139" s="5"/>
      <c r="C139" s="11"/>
      <c r="D139" s="4"/>
      <c r="E139" s="4"/>
      <c r="F139" s="7"/>
      <c r="G139" s="4"/>
      <c r="H139" s="4"/>
      <c r="I139" s="4"/>
      <c r="J139" s="4"/>
      <c r="K139" s="4"/>
      <c r="L139" s="4"/>
      <c r="M139" s="4"/>
      <c r="N139" s="15"/>
      <c r="O139" s="14"/>
      <c r="P139" s="4"/>
      <c r="Q139" s="4"/>
      <c r="R139" s="4"/>
    </row>
    <row r="140" spans="1:18" ht="12.75">
      <c r="A140" s="1" t="s">
        <v>3</v>
      </c>
      <c r="B140" s="5">
        <v>6</v>
      </c>
      <c r="C140" s="11">
        <v>174.7</v>
      </c>
      <c r="D140" s="4">
        <v>10028.71</v>
      </c>
      <c r="E140" s="4">
        <v>8332.98</v>
      </c>
      <c r="F140" s="7">
        <f>E140*100/D140</f>
        <v>83.09124503550308</v>
      </c>
      <c r="G140" s="4">
        <f>H140+O140+P140+Q140</f>
        <v>8950.87807698045</v>
      </c>
      <c r="H140" s="4">
        <f t="shared" si="4"/>
        <v>6143.199999999999</v>
      </c>
      <c r="I140" s="4"/>
      <c r="J140" s="4"/>
      <c r="K140" s="4"/>
      <c r="L140" s="4">
        <f>83.37+1383.6</f>
        <v>1466.9699999999998</v>
      </c>
      <c r="M140" s="4">
        <v>4676.23</v>
      </c>
      <c r="N140" s="15">
        <v>1.21</v>
      </c>
      <c r="O140" s="14">
        <f>N140*C140*12</f>
        <v>2536.644</v>
      </c>
      <c r="P140" s="4">
        <f>201520.57/178236.42*C140</f>
        <v>197.52216510520128</v>
      </c>
      <c r="Q140" s="4">
        <f t="shared" si="5"/>
        <v>73.51191187524974</v>
      </c>
      <c r="R140" s="4">
        <v>33695.74</v>
      </c>
    </row>
    <row r="141" spans="1:18" ht="12.75">
      <c r="A141" s="1"/>
      <c r="B141" s="5"/>
      <c r="C141" s="11"/>
      <c r="D141" s="4"/>
      <c r="E141" s="4"/>
      <c r="F141" s="7"/>
      <c r="G141" s="4"/>
      <c r="H141" s="4"/>
      <c r="I141" s="4"/>
      <c r="J141" s="4"/>
      <c r="K141" s="4"/>
      <c r="L141" s="4"/>
      <c r="M141" s="4"/>
      <c r="N141" s="15"/>
      <c r="O141" s="14"/>
      <c r="P141" s="4"/>
      <c r="Q141" s="4"/>
      <c r="R141" s="4"/>
    </row>
    <row r="142" spans="1:18" ht="12.75">
      <c r="A142" s="1" t="s">
        <v>3</v>
      </c>
      <c r="B142" s="5">
        <v>8</v>
      </c>
      <c r="C142" s="11">
        <v>475.3</v>
      </c>
      <c r="D142" s="4">
        <v>40609.56</v>
      </c>
      <c r="E142" s="4">
        <v>34444.75</v>
      </c>
      <c r="F142" s="7">
        <f>E142*100/D142</f>
        <v>84.81931348185009</v>
      </c>
      <c r="G142" s="4">
        <f>H142+O142+P142+Q142</f>
        <v>42378.9626547728</v>
      </c>
      <c r="H142" s="4">
        <f t="shared" si="4"/>
        <v>33656.53</v>
      </c>
      <c r="I142" s="4"/>
      <c r="J142" s="4"/>
      <c r="K142" s="4"/>
      <c r="L142" s="4">
        <f>228.13+3764.4</f>
        <v>3992.53</v>
      </c>
      <c r="M142" s="4">
        <v>29664</v>
      </c>
      <c r="N142" s="15">
        <v>1.4</v>
      </c>
      <c r="O142" s="14">
        <f>N142*C142*12</f>
        <v>7985.039999999999</v>
      </c>
      <c r="P142" s="4">
        <f>201520.57/178236.42*C142</f>
        <v>537.3914428992683</v>
      </c>
      <c r="Q142" s="4">
        <f t="shared" si="5"/>
        <v>200.0012118735329</v>
      </c>
      <c r="R142" s="4">
        <v>160772.38</v>
      </c>
    </row>
    <row r="143" spans="1:18" ht="12.75">
      <c r="A143" s="1"/>
      <c r="B143" s="5"/>
      <c r="C143" s="11"/>
      <c r="D143" s="4"/>
      <c r="E143" s="4"/>
      <c r="F143" s="7"/>
      <c r="G143" s="4"/>
      <c r="H143" s="4"/>
      <c r="I143" s="4"/>
      <c r="J143" s="4"/>
      <c r="K143" s="4"/>
      <c r="L143" s="4"/>
      <c r="M143" s="4"/>
      <c r="N143" s="15"/>
      <c r="O143" s="14"/>
      <c r="P143" s="4"/>
      <c r="Q143" s="4"/>
      <c r="R143" s="4"/>
    </row>
    <row r="144" spans="1:18" ht="12.75">
      <c r="A144" s="1" t="s">
        <v>3</v>
      </c>
      <c r="B144" s="5">
        <v>10</v>
      </c>
      <c r="C144" s="11">
        <v>552.5</v>
      </c>
      <c r="D144" s="4">
        <v>30487.19</v>
      </c>
      <c r="E144" s="4">
        <v>27549.53</v>
      </c>
      <c r="F144" s="7">
        <f>E144*100/D144</f>
        <v>90.36428086681653</v>
      </c>
      <c r="G144" s="4">
        <f>H144+O144+P144+Q144</f>
        <v>62881.312721990274</v>
      </c>
      <c r="H144" s="4">
        <f t="shared" si="4"/>
        <v>54001.850000000006</v>
      </c>
      <c r="I144" s="4"/>
      <c r="J144" s="4"/>
      <c r="K144" s="4"/>
      <c r="L144" s="4">
        <f>4362.36+264.37</f>
        <v>4626.73</v>
      </c>
      <c r="M144" s="4">
        <v>49375.12</v>
      </c>
      <c r="N144" s="15">
        <v>1.21</v>
      </c>
      <c r="O144" s="14">
        <f>N144*C144*12</f>
        <v>8022.299999999999</v>
      </c>
      <c r="P144" s="4">
        <f>201520.57/178236.42*C144</f>
        <v>624.6765668037991</v>
      </c>
      <c r="Q144" s="4">
        <f t="shared" si="5"/>
        <v>232.48615518646525</v>
      </c>
      <c r="R144" s="9">
        <v>25520.73</v>
      </c>
    </row>
    <row r="145" spans="1:18" ht="12.75">
      <c r="A145" s="1"/>
      <c r="B145" s="5"/>
      <c r="C145" s="11"/>
      <c r="D145" s="4"/>
      <c r="E145" s="4"/>
      <c r="F145" s="7"/>
      <c r="G145" s="4"/>
      <c r="H145" s="4"/>
      <c r="I145" s="4"/>
      <c r="J145" s="4"/>
      <c r="K145" s="4"/>
      <c r="L145" s="4"/>
      <c r="M145" s="4"/>
      <c r="N145" s="15"/>
      <c r="O145" s="14"/>
      <c r="P145" s="4"/>
      <c r="Q145" s="4"/>
      <c r="R145" s="9"/>
    </row>
    <row r="146" spans="1:18" ht="12.75">
      <c r="A146" s="1" t="s">
        <v>3</v>
      </c>
      <c r="B146" s="5">
        <v>12</v>
      </c>
      <c r="C146" s="11">
        <v>441.05</v>
      </c>
      <c r="D146" s="4">
        <v>27173.53</v>
      </c>
      <c r="E146" s="4">
        <v>21032.92</v>
      </c>
      <c r="F146" s="7">
        <f>E146*100/D146</f>
        <v>77.40223666192799</v>
      </c>
      <c r="G146" s="4">
        <f>H146+O146+P146+Q146</f>
        <v>21724.45232313811</v>
      </c>
      <c r="H146" s="4">
        <f t="shared" si="4"/>
        <v>14636.150000000001</v>
      </c>
      <c r="I146" s="4"/>
      <c r="J146" s="4">
        <v>509.29</v>
      </c>
      <c r="K146" s="4"/>
      <c r="L146" s="4">
        <f>214.34+3513.6</f>
        <v>3727.94</v>
      </c>
      <c r="M146" s="4">
        <v>10398.92</v>
      </c>
      <c r="N146" s="15">
        <v>1.21</v>
      </c>
      <c r="O146" s="14">
        <f>N146*C146*12</f>
        <v>6404.045999999999</v>
      </c>
      <c r="P146" s="4">
        <f>201520.57/178236.42*C146</f>
        <v>498.6671489390328</v>
      </c>
      <c r="Q146" s="4">
        <f t="shared" si="5"/>
        <v>185.58917419907783</v>
      </c>
      <c r="R146" s="4">
        <v>43647.5</v>
      </c>
    </row>
    <row r="147" spans="1:18" ht="12.75">
      <c r="A147" s="1"/>
      <c r="B147" s="5"/>
      <c r="C147" s="11"/>
      <c r="D147" s="4"/>
      <c r="E147" s="4"/>
      <c r="F147" s="7"/>
      <c r="G147" s="4"/>
      <c r="H147" s="4"/>
      <c r="I147" s="4"/>
      <c r="J147" s="4"/>
      <c r="K147" s="4"/>
      <c r="L147" s="4"/>
      <c r="M147" s="4"/>
      <c r="N147" s="15"/>
      <c r="O147" s="14"/>
      <c r="P147" s="4"/>
      <c r="Q147" s="4"/>
      <c r="R147" s="4"/>
    </row>
    <row r="148" spans="1:18" ht="12.75">
      <c r="A148" s="1" t="s">
        <v>3</v>
      </c>
      <c r="B148" s="5">
        <v>14</v>
      </c>
      <c r="C148" s="11">
        <v>546.2</v>
      </c>
      <c r="D148" s="4">
        <v>31710.08</v>
      </c>
      <c r="E148" s="4">
        <v>28925.07</v>
      </c>
      <c r="F148" s="7">
        <f>E148*100/D148</f>
        <v>91.21727223646235</v>
      </c>
      <c r="G148" s="4">
        <f>H148+O148+P148+Q148</f>
        <v>30166.23273982096</v>
      </c>
      <c r="H148" s="4">
        <f t="shared" si="4"/>
        <v>21388.019999999997</v>
      </c>
      <c r="I148" s="4"/>
      <c r="J148" s="4">
        <v>226.85</v>
      </c>
      <c r="K148" s="4"/>
      <c r="L148" s="4">
        <f>4325.88+262.19</f>
        <v>4588.07</v>
      </c>
      <c r="M148" s="4">
        <v>16573.1</v>
      </c>
      <c r="N148" s="15">
        <v>1.21</v>
      </c>
      <c r="O148" s="14">
        <f>N148*C148*12</f>
        <v>7930.8240000000005</v>
      </c>
      <c r="P148" s="4">
        <f>201520.57/178236.42*C148</f>
        <v>617.5535579877559</v>
      </c>
      <c r="Q148" s="4">
        <f t="shared" si="5"/>
        <v>229.8351818332078</v>
      </c>
      <c r="R148" s="4">
        <v>28454.18</v>
      </c>
    </row>
    <row r="149" spans="1:18" ht="12.75">
      <c r="A149" s="1"/>
      <c r="B149" s="5"/>
      <c r="C149" s="11"/>
      <c r="D149" s="4"/>
      <c r="E149" s="4"/>
      <c r="F149" s="7"/>
      <c r="G149" s="4"/>
      <c r="H149" s="4"/>
      <c r="I149" s="4"/>
      <c r="J149" s="4"/>
      <c r="K149" s="4"/>
      <c r="L149" s="4"/>
      <c r="M149" s="4"/>
      <c r="N149" s="15"/>
      <c r="O149" s="14"/>
      <c r="P149" s="4"/>
      <c r="Q149" s="4"/>
      <c r="R149" s="4"/>
    </row>
    <row r="150" spans="1:18" ht="12.75">
      <c r="A150" s="1" t="s">
        <v>3</v>
      </c>
      <c r="B150" s="66" t="s">
        <v>19</v>
      </c>
      <c r="C150" s="11">
        <v>855.9</v>
      </c>
      <c r="D150" s="4">
        <v>60453.54</v>
      </c>
      <c r="E150" s="4">
        <v>56334.85</v>
      </c>
      <c r="F150" s="7">
        <f>E150*100/D150</f>
        <v>93.18701601262721</v>
      </c>
      <c r="G150" s="4">
        <f>H150+O150+P150+Q150</f>
        <v>50435.41529185786</v>
      </c>
      <c r="H150" s="4">
        <f t="shared" si="4"/>
        <v>34728.43</v>
      </c>
      <c r="I150" s="4"/>
      <c r="J150" s="4">
        <v>635.45</v>
      </c>
      <c r="K150" s="4"/>
      <c r="L150" s="4">
        <f>410.51+6773.16</f>
        <v>7183.67</v>
      </c>
      <c r="M150" s="4">
        <v>26909.31</v>
      </c>
      <c r="N150" s="15">
        <v>1.4</v>
      </c>
      <c r="O150" s="14">
        <f>N150*C150*12</f>
        <v>14379.119999999999</v>
      </c>
      <c r="P150" s="4">
        <f>201520.57/178236.42*C150</f>
        <v>967.7116262938854</v>
      </c>
      <c r="Q150" s="4">
        <f t="shared" si="5"/>
        <v>360.15366556397396</v>
      </c>
      <c r="R150" s="4">
        <v>52229.53</v>
      </c>
    </row>
    <row r="151" spans="1:18" ht="12.75">
      <c r="A151" s="1"/>
      <c r="B151" s="66"/>
      <c r="C151" s="11"/>
      <c r="D151" s="4"/>
      <c r="E151" s="4"/>
      <c r="F151" s="7"/>
      <c r="G151" s="4"/>
      <c r="H151" s="4"/>
      <c r="I151" s="4"/>
      <c r="J151" s="4"/>
      <c r="K151" s="4"/>
      <c r="L151" s="4"/>
      <c r="M151" s="4"/>
      <c r="N151" s="15"/>
      <c r="O151" s="14"/>
      <c r="P151" s="4"/>
      <c r="Q151" s="4"/>
      <c r="R151" s="4"/>
    </row>
    <row r="152" spans="1:18" ht="12.75">
      <c r="A152" s="1" t="s">
        <v>3</v>
      </c>
      <c r="B152" s="5">
        <v>27</v>
      </c>
      <c r="C152" s="11">
        <v>902.5</v>
      </c>
      <c r="D152" s="4">
        <v>71619.43</v>
      </c>
      <c r="E152" s="4">
        <v>58975.49</v>
      </c>
      <c r="F152" s="7">
        <f>E152*100/D152</f>
        <v>82.34565675822888</v>
      </c>
      <c r="G152" s="4">
        <f>H152+O152+P152+Q152</f>
        <v>100443.86173139585</v>
      </c>
      <c r="H152" s="4">
        <f t="shared" si="4"/>
        <v>83881.7</v>
      </c>
      <c r="I152" s="4"/>
      <c r="J152" s="4">
        <v>809</v>
      </c>
      <c r="K152" s="4"/>
      <c r="L152" s="4">
        <f>433.2+7146.96</f>
        <v>7580.16</v>
      </c>
      <c r="M152" s="4">
        <v>75492.54</v>
      </c>
      <c r="N152" s="15">
        <v>1.4</v>
      </c>
      <c r="O152" s="14">
        <f>N152*C152*12</f>
        <v>15162</v>
      </c>
      <c r="P152" s="4">
        <f>201520.57/178236.42*C152</f>
        <v>1020.3992788062059</v>
      </c>
      <c r="Q152" s="4">
        <f t="shared" si="5"/>
        <v>379.7624525896559</v>
      </c>
      <c r="R152" s="4">
        <v>250852.36</v>
      </c>
    </row>
    <row r="153" spans="1:18" ht="12.75">
      <c r="A153" s="1"/>
      <c r="B153" s="5"/>
      <c r="C153" s="11"/>
      <c r="D153" s="4"/>
      <c r="E153" s="4"/>
      <c r="F153" s="7"/>
      <c r="G153" s="4"/>
      <c r="H153" s="4"/>
      <c r="I153" s="4"/>
      <c r="J153" s="4"/>
      <c r="K153" s="4"/>
      <c r="L153" s="4"/>
      <c r="M153" s="4"/>
      <c r="N153" s="15"/>
      <c r="O153" s="14"/>
      <c r="P153" s="4"/>
      <c r="Q153" s="4"/>
      <c r="R153" s="4"/>
    </row>
    <row r="154" spans="1:18" ht="12.75">
      <c r="A154" s="1" t="s">
        <v>3</v>
      </c>
      <c r="B154" s="5">
        <v>29</v>
      </c>
      <c r="C154" s="11">
        <v>872</v>
      </c>
      <c r="D154" s="4">
        <v>67913.77</v>
      </c>
      <c r="E154" s="4">
        <v>58216.9</v>
      </c>
      <c r="F154" s="7">
        <f>E154*100/D154</f>
        <v>85.72179103000761</v>
      </c>
      <c r="G154" s="4">
        <f>H154+O154+P154+Q154</f>
        <v>55386.56324629052</v>
      </c>
      <c r="H154" s="4">
        <f t="shared" si="4"/>
        <v>39384.12</v>
      </c>
      <c r="I154" s="4"/>
      <c r="J154" s="4">
        <v>809</v>
      </c>
      <c r="K154" s="4"/>
      <c r="L154" s="4">
        <f>6896.76+417.97</f>
        <v>7314.7300000000005</v>
      </c>
      <c r="M154" s="4">
        <f>30637.84+423.59+198.96</f>
        <v>31260.39</v>
      </c>
      <c r="N154" s="15">
        <v>1.4</v>
      </c>
      <c r="O154" s="14">
        <f>N154*C154*12</f>
        <v>14649.599999999999</v>
      </c>
      <c r="P154" s="4">
        <f>201520.57/178236.42*C154</f>
        <v>985.9148710459962</v>
      </c>
      <c r="Q154" s="4">
        <f t="shared" si="5"/>
        <v>366.9283752445207</v>
      </c>
      <c r="R154" s="4">
        <v>156106.01</v>
      </c>
    </row>
    <row r="155" spans="1:18" ht="12.75">
      <c r="A155" s="1"/>
      <c r="B155" s="5"/>
      <c r="C155" s="11"/>
      <c r="D155" s="4"/>
      <c r="E155" s="4"/>
      <c r="F155" s="7"/>
      <c r="G155" s="4"/>
      <c r="H155" s="4"/>
      <c r="I155" s="4"/>
      <c r="J155" s="4"/>
      <c r="K155" s="4"/>
      <c r="L155" s="4"/>
      <c r="M155" s="4"/>
      <c r="N155" s="15"/>
      <c r="O155" s="14"/>
      <c r="P155" s="4"/>
      <c r="Q155" s="4"/>
      <c r="R155" s="4"/>
    </row>
    <row r="156" spans="1:18" ht="12.75">
      <c r="A156" s="1" t="s">
        <v>3</v>
      </c>
      <c r="B156" s="5">
        <v>31</v>
      </c>
      <c r="C156" s="11">
        <v>836.8</v>
      </c>
      <c r="D156" s="4">
        <v>94593.82</v>
      </c>
      <c r="E156" s="4">
        <v>83451.86</v>
      </c>
      <c r="F156" s="7">
        <f>E156*100/D156</f>
        <v>88.22126012037572</v>
      </c>
      <c r="G156" s="4">
        <f>H156+O156+P156+Q156</f>
        <v>60743.76306020172</v>
      </c>
      <c r="H156" s="4">
        <f t="shared" si="4"/>
        <v>35847.77</v>
      </c>
      <c r="I156" s="4"/>
      <c r="J156" s="4">
        <v>820.1</v>
      </c>
      <c r="K156" s="4"/>
      <c r="L156" s="4">
        <f>404.9+6878.88</f>
        <v>7283.78</v>
      </c>
      <c r="M156" s="4">
        <v>27743.89</v>
      </c>
      <c r="N156" s="15">
        <v>2.35</v>
      </c>
      <c r="O156" s="14">
        <f>N156*C156*12</f>
        <v>23597.760000000002</v>
      </c>
      <c r="P156" s="4">
        <f>201520.57/178236.42*C156</f>
        <v>946.116472581754</v>
      </c>
      <c r="Q156" s="4">
        <f t="shared" si="5"/>
        <v>352.11658761997126</v>
      </c>
      <c r="R156" s="4">
        <v>130558.7</v>
      </c>
    </row>
    <row r="157" spans="1:18" ht="12.75">
      <c r="A157" s="1"/>
      <c r="B157" s="5"/>
      <c r="C157" s="11"/>
      <c r="D157" s="4"/>
      <c r="E157" s="4"/>
      <c r="F157" s="7"/>
      <c r="G157" s="4"/>
      <c r="H157" s="4"/>
      <c r="I157" s="4"/>
      <c r="J157" s="4"/>
      <c r="K157" s="4"/>
      <c r="L157" s="4"/>
      <c r="M157" s="4"/>
      <c r="N157" s="15"/>
      <c r="O157" s="14"/>
      <c r="P157" s="4"/>
      <c r="Q157" s="4"/>
      <c r="R157" s="4"/>
    </row>
    <row r="158" spans="1:18" ht="12.75">
      <c r="A158" s="1" t="s">
        <v>3</v>
      </c>
      <c r="B158" s="5">
        <v>33</v>
      </c>
      <c r="C158" s="11">
        <v>862.6</v>
      </c>
      <c r="D158" s="4">
        <v>101520.71</v>
      </c>
      <c r="E158" s="4">
        <v>87065.8</v>
      </c>
      <c r="F158" s="7">
        <f>E158*100/D158</f>
        <v>85.76161455135606</v>
      </c>
      <c r="G158" s="4">
        <f>H158+O158+P158+Q158</f>
        <v>58730.03984432362</v>
      </c>
      <c r="H158" s="4">
        <f t="shared" si="4"/>
        <v>33066.46</v>
      </c>
      <c r="I158" s="4">
        <v>865.2</v>
      </c>
      <c r="J158" s="4">
        <v>460.71</v>
      </c>
      <c r="K158" s="4"/>
      <c r="L158" s="4">
        <f>414.02+6831.84</f>
        <v>7245.860000000001</v>
      </c>
      <c r="M158" s="4">
        <v>24494.69</v>
      </c>
      <c r="N158" s="15">
        <v>2.35</v>
      </c>
      <c r="O158" s="14">
        <f>N158*C158*12</f>
        <v>24325.32</v>
      </c>
      <c r="P158" s="4">
        <f>201520.57/178236.42*C158</f>
        <v>975.2868896379315</v>
      </c>
      <c r="Q158" s="4">
        <f t="shared" si="5"/>
        <v>362.9729546856922</v>
      </c>
      <c r="R158" s="4">
        <v>73726.61</v>
      </c>
    </row>
    <row r="159" spans="1:18" ht="12.75">
      <c r="A159" s="1"/>
      <c r="B159" s="5"/>
      <c r="C159" s="11"/>
      <c r="D159" s="4"/>
      <c r="E159" s="4"/>
      <c r="F159" s="7"/>
      <c r="G159" s="4"/>
      <c r="H159" s="4"/>
      <c r="I159" s="4"/>
      <c r="J159" s="4"/>
      <c r="K159" s="4"/>
      <c r="L159" s="4"/>
      <c r="M159" s="4"/>
      <c r="N159" s="15"/>
      <c r="O159" s="14"/>
      <c r="P159" s="4"/>
      <c r="Q159" s="4"/>
      <c r="R159" s="4"/>
    </row>
    <row r="160" spans="1:18" ht="12.75">
      <c r="A160" s="1" t="s">
        <v>21</v>
      </c>
      <c r="B160" s="5">
        <v>1</v>
      </c>
      <c r="C160" s="11">
        <v>197.97</v>
      </c>
      <c r="D160" s="4">
        <v>16914.6</v>
      </c>
      <c r="E160" s="4">
        <v>11449.11</v>
      </c>
      <c r="F160" s="7">
        <f>E160*100/D160</f>
        <v>67.68773722109894</v>
      </c>
      <c r="G160" s="4">
        <f>H160+O160+P160+Q160</f>
        <v>13083.551753977219</v>
      </c>
      <c r="H160" s="4">
        <f t="shared" si="4"/>
        <v>9450.52</v>
      </c>
      <c r="I160" s="4"/>
      <c r="J160" s="4">
        <v>167.45</v>
      </c>
      <c r="K160" s="4"/>
      <c r="L160" s="4">
        <f>95.03+1533.12</f>
        <v>1628.1499999999999</v>
      </c>
      <c r="M160" s="4">
        <v>7654.92</v>
      </c>
      <c r="N160" s="15">
        <v>1.4</v>
      </c>
      <c r="O160" s="14">
        <f>N160*C160*12</f>
        <v>3325.8959999999997</v>
      </c>
      <c r="P160" s="4">
        <f>201520.57/178236.42*C160</f>
        <v>223.8320722717613</v>
      </c>
      <c r="Q160" s="4">
        <f t="shared" si="5"/>
        <v>83.30368170545616</v>
      </c>
      <c r="R160" s="4">
        <v>9374.73</v>
      </c>
    </row>
    <row r="161" spans="1:18" ht="12.75">
      <c r="A161" s="1"/>
      <c r="B161" s="5"/>
      <c r="C161" s="11"/>
      <c r="D161" s="4"/>
      <c r="E161" s="4"/>
      <c r="F161" s="7"/>
      <c r="G161" s="4"/>
      <c r="H161" s="4"/>
      <c r="I161" s="4"/>
      <c r="J161" s="4"/>
      <c r="K161" s="4"/>
      <c r="L161" s="4"/>
      <c r="M161" s="4"/>
      <c r="N161" s="15"/>
      <c r="O161" s="14"/>
      <c r="P161" s="4"/>
      <c r="Q161" s="4"/>
      <c r="R161" s="4"/>
    </row>
    <row r="162" spans="1:18" ht="12.75">
      <c r="A162" s="1" t="s">
        <v>21</v>
      </c>
      <c r="B162" s="5">
        <v>2</v>
      </c>
      <c r="C162" s="11">
        <v>187.8</v>
      </c>
      <c r="D162" s="4">
        <v>16045.68</v>
      </c>
      <c r="E162" s="4">
        <v>14981.95</v>
      </c>
      <c r="F162" s="7">
        <f>E162*100/D162</f>
        <v>93.37061439589971</v>
      </c>
      <c r="G162" s="4">
        <f>H162+O162+P162+Q162</f>
        <v>13271.417754189633</v>
      </c>
      <c r="H162" s="4">
        <f t="shared" si="4"/>
        <v>9825.02</v>
      </c>
      <c r="I162" s="4"/>
      <c r="J162" s="4">
        <v>119.29</v>
      </c>
      <c r="K162" s="4"/>
      <c r="L162" s="4">
        <f>1503.6+90.13</f>
        <v>1593.73</v>
      </c>
      <c r="M162" s="4">
        <v>8112</v>
      </c>
      <c r="N162" s="15">
        <v>1.4</v>
      </c>
      <c r="O162" s="14">
        <f>N162*C162*12</f>
        <v>3155.04</v>
      </c>
      <c r="P162" s="4">
        <f>201520.57/178236.42*C162</f>
        <v>212.33350089729137</v>
      </c>
      <c r="Q162" s="4">
        <f t="shared" si="5"/>
        <v>79.02425329234059</v>
      </c>
      <c r="R162" s="4">
        <v>6026.51</v>
      </c>
    </row>
    <row r="163" spans="1:18" ht="12.75">
      <c r="A163" s="1"/>
      <c r="B163" s="5"/>
      <c r="C163" s="11"/>
      <c r="D163" s="4"/>
      <c r="E163" s="4"/>
      <c r="F163" s="7"/>
      <c r="G163" s="4"/>
      <c r="H163" s="4"/>
      <c r="I163" s="4"/>
      <c r="J163" s="4"/>
      <c r="K163" s="4"/>
      <c r="L163" s="4"/>
      <c r="M163" s="4"/>
      <c r="N163" s="15"/>
      <c r="O163" s="14"/>
      <c r="P163" s="4"/>
      <c r="Q163" s="4"/>
      <c r="R163" s="4"/>
    </row>
    <row r="164" spans="1:18" ht="12.75">
      <c r="A164" s="1" t="s">
        <v>21</v>
      </c>
      <c r="B164" s="5">
        <v>3</v>
      </c>
      <c r="C164" s="11">
        <v>205.5</v>
      </c>
      <c r="D164" s="4">
        <v>17557.92</v>
      </c>
      <c r="E164" s="4">
        <v>16443.14</v>
      </c>
      <c r="F164" s="7">
        <f>E164*100/D164</f>
        <v>93.6508424688118</v>
      </c>
      <c r="G164" s="4">
        <f>H164+O164+P164+Q164</f>
        <v>33666.467989808145</v>
      </c>
      <c r="H164" s="4">
        <f t="shared" si="4"/>
        <v>29895.25</v>
      </c>
      <c r="I164" s="4"/>
      <c r="J164" s="4">
        <v>80.29</v>
      </c>
      <c r="K164" s="4"/>
      <c r="L164" s="4">
        <f>1627.56+98.64</f>
        <v>1726.2</v>
      </c>
      <c r="M164" s="4">
        <f>27941.96+99.88+46.92</f>
        <v>28088.76</v>
      </c>
      <c r="N164" s="15">
        <v>1.4</v>
      </c>
      <c r="O164" s="14">
        <f>N164*C164*12</f>
        <v>3452.3999999999996</v>
      </c>
      <c r="P164" s="4">
        <f>201520.57/178236.42*C164</f>
        <v>232.34576376141308</v>
      </c>
      <c r="Q164" s="4">
        <f t="shared" si="5"/>
        <v>86.47222604673051</v>
      </c>
      <c r="R164" s="4">
        <v>2073.25</v>
      </c>
    </row>
    <row r="165" spans="1:18" ht="12.75">
      <c r="A165" s="1"/>
      <c r="B165" s="5"/>
      <c r="C165" s="11"/>
      <c r="D165" s="4"/>
      <c r="E165" s="4"/>
      <c r="F165" s="7"/>
      <c r="G165" s="4"/>
      <c r="H165" s="4"/>
      <c r="I165" s="4"/>
      <c r="J165" s="4"/>
      <c r="K165" s="4"/>
      <c r="L165" s="4"/>
      <c r="M165" s="4"/>
      <c r="N165" s="15"/>
      <c r="O165" s="14"/>
      <c r="P165" s="4"/>
      <c r="Q165" s="4"/>
      <c r="R165" s="4"/>
    </row>
    <row r="166" spans="1:18" ht="12.75">
      <c r="A166" s="1" t="s">
        <v>21</v>
      </c>
      <c r="B166" s="5">
        <v>4</v>
      </c>
      <c r="C166" s="11">
        <v>188</v>
      </c>
      <c r="D166" s="4">
        <v>16062.72</v>
      </c>
      <c r="E166" s="4">
        <v>12615.33</v>
      </c>
      <c r="F166" s="7">
        <f>E166*100/D166</f>
        <v>78.537943760459</v>
      </c>
      <c r="G166" s="4">
        <f>H166+O166+P166+Q166</f>
        <v>14105.638039337862</v>
      </c>
      <c r="H166" s="4">
        <f t="shared" si="4"/>
        <v>10655.57</v>
      </c>
      <c r="I166" s="4"/>
      <c r="J166" s="4">
        <v>167.45</v>
      </c>
      <c r="K166" s="4"/>
      <c r="L166" s="4">
        <f>1488.96+90.24</f>
        <v>1579.2</v>
      </c>
      <c r="M166" s="4">
        <v>8908.92</v>
      </c>
      <c r="N166" s="15">
        <v>1.4</v>
      </c>
      <c r="O166" s="14">
        <f>N166*C166*12</f>
        <v>3158.3999999999996</v>
      </c>
      <c r="P166" s="4">
        <f>201520.57/178236.42*C166</f>
        <v>212.55962816129275</v>
      </c>
      <c r="Q166" s="4">
        <f t="shared" si="5"/>
        <v>79.10841117657098</v>
      </c>
      <c r="R166" s="4">
        <v>6326.68</v>
      </c>
    </row>
    <row r="167" spans="1:18" ht="12.75">
      <c r="A167" s="1"/>
      <c r="B167" s="5"/>
      <c r="C167" s="11"/>
      <c r="D167" s="4"/>
      <c r="E167" s="4"/>
      <c r="F167" s="7"/>
      <c r="G167" s="4"/>
      <c r="H167" s="4"/>
      <c r="I167" s="4"/>
      <c r="J167" s="4"/>
      <c r="K167" s="4"/>
      <c r="L167" s="4"/>
      <c r="M167" s="4"/>
      <c r="N167" s="15"/>
      <c r="O167" s="14"/>
      <c r="P167" s="4"/>
      <c r="Q167" s="4"/>
      <c r="R167" s="4"/>
    </row>
    <row r="168" spans="1:18" ht="12.75">
      <c r="A168" s="1" t="s">
        <v>21</v>
      </c>
      <c r="B168" s="5">
        <v>5</v>
      </c>
      <c r="C168" s="11">
        <v>178.24</v>
      </c>
      <c r="D168" s="4">
        <v>15305.91</v>
      </c>
      <c r="E168" s="4">
        <v>13587.29</v>
      </c>
      <c r="F168" s="7">
        <f>E168*100/D168</f>
        <v>88.77152681545887</v>
      </c>
      <c r="G168" s="4">
        <f>H168+O168+P168+Q168</f>
        <v>14076.058124104153</v>
      </c>
      <c r="H168" s="4">
        <f t="shared" si="4"/>
        <v>10805.1</v>
      </c>
      <c r="I168" s="4"/>
      <c r="J168" s="4">
        <v>167.45</v>
      </c>
      <c r="K168" s="4"/>
      <c r="L168" s="4">
        <f>86.89+1411.68</f>
        <v>1498.5700000000002</v>
      </c>
      <c r="M168" s="4">
        <v>9139.08</v>
      </c>
      <c r="N168" s="15">
        <v>1.4</v>
      </c>
      <c r="O168" s="14">
        <f>N168*C168*12</f>
        <v>2994.432</v>
      </c>
      <c r="P168" s="4">
        <f>201520.57/178236.42*C168</f>
        <v>201.52461767802563</v>
      </c>
      <c r="Q168" s="4">
        <f t="shared" si="5"/>
        <v>75.00150642612772</v>
      </c>
      <c r="R168" s="4">
        <v>10304.8</v>
      </c>
    </row>
    <row r="169" spans="1:18" ht="12.75">
      <c r="A169" s="1"/>
      <c r="B169" s="5"/>
      <c r="C169" s="11"/>
      <c r="D169" s="4"/>
      <c r="E169" s="4"/>
      <c r="F169" s="7"/>
      <c r="G169" s="4"/>
      <c r="H169" s="4"/>
      <c r="I169" s="4"/>
      <c r="J169" s="4"/>
      <c r="K169" s="4"/>
      <c r="L169" s="4"/>
      <c r="M169" s="4"/>
      <c r="N169" s="15"/>
      <c r="O169" s="14"/>
      <c r="P169" s="4"/>
      <c r="Q169" s="4"/>
      <c r="R169" s="4"/>
    </row>
    <row r="170" spans="1:18" ht="12.75">
      <c r="A170" s="1" t="s">
        <v>21</v>
      </c>
      <c r="B170" s="5" t="s">
        <v>20</v>
      </c>
      <c r="C170" s="11">
        <v>305.29</v>
      </c>
      <c r="D170" s="4">
        <v>25728.63</v>
      </c>
      <c r="E170" s="4">
        <v>22844.93</v>
      </c>
      <c r="F170" s="7">
        <f>E170*100/D170</f>
        <v>88.79186338332045</v>
      </c>
      <c r="G170" s="4">
        <f>H170+O170+P170+Q170</f>
        <v>18833.816764518386</v>
      </c>
      <c r="H170" s="4">
        <f t="shared" si="4"/>
        <v>13231.310000000001</v>
      </c>
      <c r="I170" s="4"/>
      <c r="J170" s="4">
        <v>178.9</v>
      </c>
      <c r="K170" s="4"/>
      <c r="L170" s="4">
        <f>146.53+2417.88</f>
        <v>2564.4100000000003</v>
      </c>
      <c r="M170" s="4">
        <v>10488</v>
      </c>
      <c r="N170" s="15">
        <v>1.4</v>
      </c>
      <c r="O170" s="14">
        <f>N170*C170*12</f>
        <v>5128.872</v>
      </c>
      <c r="P170" s="4">
        <f>201520.57/178236.42*C170</f>
        <v>345.1719621348993</v>
      </c>
      <c r="Q170" s="4">
        <f t="shared" si="5"/>
        <v>128.46280238348592</v>
      </c>
      <c r="R170" s="4">
        <v>7440.25</v>
      </c>
    </row>
    <row r="171" spans="1:18" ht="12.75">
      <c r="A171" s="1"/>
      <c r="B171" s="5"/>
      <c r="C171" s="11"/>
      <c r="D171" s="4"/>
      <c r="E171" s="4"/>
      <c r="F171" s="7"/>
      <c r="G171" s="4"/>
      <c r="H171" s="4"/>
      <c r="I171" s="4"/>
      <c r="J171" s="4"/>
      <c r="K171" s="4"/>
      <c r="L171" s="4"/>
      <c r="M171" s="4"/>
      <c r="N171" s="15"/>
      <c r="O171" s="14"/>
      <c r="P171" s="4"/>
      <c r="Q171" s="4"/>
      <c r="R171" s="4"/>
    </row>
    <row r="172" spans="1:18" ht="12.75">
      <c r="A172" s="1" t="s">
        <v>21</v>
      </c>
      <c r="B172" s="5">
        <v>6</v>
      </c>
      <c r="C172" s="11">
        <v>651.42</v>
      </c>
      <c r="D172" s="4">
        <v>55633.9</v>
      </c>
      <c r="E172" s="4">
        <v>49049.5</v>
      </c>
      <c r="F172" s="7">
        <f>E172*100/D172</f>
        <v>88.16477004128777</v>
      </c>
      <c r="G172" s="4">
        <f>H172+O172+P172+Q172</f>
        <v>38892.44575630569</v>
      </c>
      <c r="H172" s="4">
        <f t="shared" si="4"/>
        <v>26937.96</v>
      </c>
      <c r="I172" s="4"/>
      <c r="J172" s="4">
        <v>396.45</v>
      </c>
      <c r="K172" s="4"/>
      <c r="L172" s="4">
        <f>5060.04+312.51</f>
        <v>5372.55</v>
      </c>
      <c r="M172" s="4">
        <v>21168.96</v>
      </c>
      <c r="N172" s="15">
        <v>1.4</v>
      </c>
      <c r="O172" s="14">
        <f>N172*C172*12</f>
        <v>10943.855999999998</v>
      </c>
      <c r="P172" s="4">
        <f>201520.57/178236.42*C172</f>
        <v>736.5191115788793</v>
      </c>
      <c r="Q172" s="4">
        <f t="shared" si="5"/>
        <v>274.11064472681846</v>
      </c>
      <c r="R172" s="4">
        <v>27825.19</v>
      </c>
    </row>
    <row r="173" spans="1:18" ht="12.75">
      <c r="A173" s="1"/>
      <c r="B173" s="5"/>
      <c r="C173" s="11"/>
      <c r="D173" s="4"/>
      <c r="E173" s="4"/>
      <c r="F173" s="7"/>
      <c r="G173" s="4"/>
      <c r="H173" s="4"/>
      <c r="I173" s="4"/>
      <c r="J173" s="4"/>
      <c r="K173" s="4"/>
      <c r="L173" s="4"/>
      <c r="M173" s="4"/>
      <c r="N173" s="15"/>
      <c r="O173" s="14"/>
      <c r="P173" s="4"/>
      <c r="Q173" s="4"/>
      <c r="R173" s="4"/>
    </row>
    <row r="174" spans="1:18" ht="12.75">
      <c r="A174" s="1" t="s">
        <v>21</v>
      </c>
      <c r="B174" s="5">
        <v>7</v>
      </c>
      <c r="C174" s="11">
        <v>309.37</v>
      </c>
      <c r="D174" s="4">
        <v>26432.52</v>
      </c>
      <c r="E174" s="4">
        <v>24079.88</v>
      </c>
      <c r="F174" s="7">
        <f>E174*100/D174</f>
        <v>91.09944870939282</v>
      </c>
      <c r="G174" s="4">
        <f>H174+O174+P174+Q174</f>
        <v>25043.210581542317</v>
      </c>
      <c r="H174" s="4">
        <f t="shared" si="4"/>
        <v>19365.83</v>
      </c>
      <c r="I174" s="4"/>
      <c r="J174" s="4"/>
      <c r="K174" s="4"/>
      <c r="L174" s="4">
        <f>148.47+2424.36</f>
        <v>2572.83</v>
      </c>
      <c r="M174" s="4">
        <f>16793</f>
        <v>16793</v>
      </c>
      <c r="N174" s="15">
        <v>1.4</v>
      </c>
      <c r="O174" s="14">
        <f>N174*C174*12</f>
        <v>5197.416</v>
      </c>
      <c r="P174" s="4">
        <f>201520.57/178236.42*C174</f>
        <v>349.7849583205273</v>
      </c>
      <c r="Q174" s="4">
        <f t="shared" si="5"/>
        <v>130.179623221786</v>
      </c>
      <c r="R174" s="4">
        <v>19195.6</v>
      </c>
    </row>
    <row r="175" spans="1:18" ht="12.75">
      <c r="A175" s="1"/>
      <c r="B175" s="5"/>
      <c r="C175" s="11"/>
      <c r="D175" s="4"/>
      <c r="E175" s="4"/>
      <c r="F175" s="7"/>
      <c r="G175" s="4"/>
      <c r="H175" s="4"/>
      <c r="I175" s="4"/>
      <c r="J175" s="4"/>
      <c r="K175" s="4"/>
      <c r="L175" s="4"/>
      <c r="M175" s="4"/>
      <c r="N175" s="15"/>
      <c r="O175" s="14"/>
      <c r="P175" s="4"/>
      <c r="Q175" s="4"/>
      <c r="R175" s="4"/>
    </row>
    <row r="176" spans="1:18" ht="12.75">
      <c r="A176" s="1" t="s">
        <v>21</v>
      </c>
      <c r="B176" s="5">
        <v>8</v>
      </c>
      <c r="C176" s="11">
        <v>351.7</v>
      </c>
      <c r="D176" s="4">
        <v>30011.23</v>
      </c>
      <c r="E176" s="4">
        <v>23730.44</v>
      </c>
      <c r="F176" s="7">
        <f>E176*100/D176</f>
        <v>79.07186743095835</v>
      </c>
      <c r="G176" s="4">
        <f>H176+O176+P176+Q176</f>
        <v>25499.53643316557</v>
      </c>
      <c r="H176" s="4">
        <f t="shared" si="4"/>
        <v>19045.34</v>
      </c>
      <c r="I176" s="4"/>
      <c r="J176" s="4">
        <v>210.96</v>
      </c>
      <c r="K176" s="4"/>
      <c r="L176" s="4">
        <f>168.5+2802.84</f>
        <v>2971.34</v>
      </c>
      <c r="M176" s="4">
        <v>15863.04</v>
      </c>
      <c r="N176" s="15">
        <v>1.4</v>
      </c>
      <c r="O176" s="14">
        <f>N176*C176*12</f>
        <v>5908.5599999999995</v>
      </c>
      <c r="P176" s="4">
        <f>201520.57/178236.42*C176</f>
        <v>397.6447937464184</v>
      </c>
      <c r="Q176" s="4">
        <f t="shared" si="5"/>
        <v>147.991639419149</v>
      </c>
      <c r="R176" s="4">
        <v>40619.47</v>
      </c>
    </row>
    <row r="177" spans="1:18" ht="12.75">
      <c r="A177" s="1"/>
      <c r="B177" s="5"/>
      <c r="C177" s="11"/>
      <c r="D177" s="4"/>
      <c r="E177" s="4"/>
      <c r="F177" s="7"/>
      <c r="G177" s="4"/>
      <c r="H177" s="4"/>
      <c r="I177" s="4"/>
      <c r="J177" s="4"/>
      <c r="K177" s="4"/>
      <c r="L177" s="4"/>
      <c r="M177" s="4"/>
      <c r="N177" s="15"/>
      <c r="O177" s="14"/>
      <c r="P177" s="4"/>
      <c r="Q177" s="4"/>
      <c r="R177" s="4"/>
    </row>
    <row r="178" spans="1:18" ht="12.75">
      <c r="A178" s="1" t="s">
        <v>21</v>
      </c>
      <c r="B178" s="5">
        <v>9</v>
      </c>
      <c r="C178" s="11">
        <v>378.3</v>
      </c>
      <c r="D178" s="4">
        <v>32322</v>
      </c>
      <c r="E178" s="4">
        <v>28938.98</v>
      </c>
      <c r="F178" s="7">
        <f>E178*100/D178</f>
        <v>89.53338283522059</v>
      </c>
      <c r="G178" s="4">
        <f>H178+O178+P178+Q178</f>
        <v>26446.854357880387</v>
      </c>
      <c r="H178" s="4">
        <f t="shared" si="4"/>
        <v>19504.51</v>
      </c>
      <c r="I178" s="4"/>
      <c r="J178" s="4">
        <v>224.7</v>
      </c>
      <c r="K178" s="4"/>
      <c r="L178" s="4">
        <f>2996.16+181.57</f>
        <v>3177.73</v>
      </c>
      <c r="M178" s="4">
        <v>16102.08</v>
      </c>
      <c r="N178" s="15">
        <v>1.4</v>
      </c>
      <c r="O178" s="14">
        <f>N178*C178*12</f>
        <v>6355.4400000000005</v>
      </c>
      <c r="P178" s="4">
        <f>201520.57/178236.42*C178</f>
        <v>427.7197198586013</v>
      </c>
      <c r="Q178" s="4">
        <f t="shared" si="5"/>
        <v>159.1846380217915</v>
      </c>
      <c r="R178" s="4">
        <v>17992.94</v>
      </c>
    </row>
    <row r="179" spans="1:18" ht="12.75">
      <c r="A179" s="1"/>
      <c r="B179" s="5"/>
      <c r="C179" s="11"/>
      <c r="D179" s="4"/>
      <c r="E179" s="4"/>
      <c r="F179" s="7"/>
      <c r="G179" s="4"/>
      <c r="H179" s="4"/>
      <c r="I179" s="4"/>
      <c r="J179" s="4"/>
      <c r="K179" s="4"/>
      <c r="L179" s="4"/>
      <c r="M179" s="4"/>
      <c r="N179" s="15"/>
      <c r="O179" s="14"/>
      <c r="P179" s="4"/>
      <c r="Q179" s="4"/>
      <c r="R179" s="4"/>
    </row>
    <row r="180" spans="1:18" ht="12.75">
      <c r="A180" s="1" t="s">
        <v>21</v>
      </c>
      <c r="B180" s="5">
        <v>10</v>
      </c>
      <c r="C180" s="11">
        <v>378.7</v>
      </c>
      <c r="D180" s="4">
        <v>32192.28</v>
      </c>
      <c r="E180" s="4">
        <v>28505.06</v>
      </c>
      <c r="F180" s="7">
        <f>E180*100/D180</f>
        <v>88.546260159268</v>
      </c>
      <c r="G180" s="4">
        <f>H180+O180+P180+Q180</f>
        <v>28843.944928176854</v>
      </c>
      <c r="H180" s="4">
        <f t="shared" si="4"/>
        <v>21894.26</v>
      </c>
      <c r="I180" s="4"/>
      <c r="J180" s="4">
        <v>208.6</v>
      </c>
      <c r="K180" s="4"/>
      <c r="L180" s="4">
        <f>180.7+2981.04</f>
        <v>3161.74</v>
      </c>
      <c r="M180" s="4">
        <v>18523.92</v>
      </c>
      <c r="N180" s="15">
        <v>1.4</v>
      </c>
      <c r="O180" s="14">
        <f>N180*C180*12</f>
        <v>6362.16</v>
      </c>
      <c r="P180" s="4">
        <f>201520.57/178236.42*C180</f>
        <v>428.17197438660406</v>
      </c>
      <c r="Q180" s="4">
        <f t="shared" si="5"/>
        <v>159.3529537902523</v>
      </c>
      <c r="R180" s="4">
        <v>8203.53</v>
      </c>
    </row>
    <row r="181" spans="1:18" ht="12.75">
      <c r="A181" s="1"/>
      <c r="B181" s="5"/>
      <c r="C181" s="11"/>
      <c r="D181" s="4"/>
      <c r="E181" s="4"/>
      <c r="F181" s="7"/>
      <c r="G181" s="4"/>
      <c r="H181" s="4"/>
      <c r="I181" s="4"/>
      <c r="J181" s="4"/>
      <c r="K181" s="4"/>
      <c r="L181" s="4"/>
      <c r="M181" s="4"/>
      <c r="N181" s="15"/>
      <c r="O181" s="14"/>
      <c r="P181" s="4"/>
      <c r="Q181" s="4"/>
      <c r="R181" s="4"/>
    </row>
    <row r="182" spans="1:18" ht="12.75">
      <c r="A182" s="1" t="s">
        <v>21</v>
      </c>
      <c r="B182" s="5">
        <v>11</v>
      </c>
      <c r="C182" s="11">
        <v>366.5</v>
      </c>
      <c r="D182" s="4">
        <v>31313.76</v>
      </c>
      <c r="E182" s="4">
        <v>25043.13</v>
      </c>
      <c r="F182" s="7">
        <f>E182*100/D182</f>
        <v>79.97484173091958</v>
      </c>
      <c r="G182" s="4">
        <f>H182+O182+P182+Q182</f>
        <v>28139.65753413472</v>
      </c>
      <c r="H182" s="4">
        <f t="shared" si="4"/>
        <v>21413.86</v>
      </c>
      <c r="I182" s="4"/>
      <c r="J182" s="4">
        <v>236.22</v>
      </c>
      <c r="K182" s="4"/>
      <c r="L182" s="4">
        <f>175.92+2902.68</f>
        <v>3078.6</v>
      </c>
      <c r="M182" s="4">
        <v>18099.04</v>
      </c>
      <c r="N182" s="15">
        <v>1.4</v>
      </c>
      <c r="O182" s="14">
        <f>N182*C182*12</f>
        <v>6157.200000000001</v>
      </c>
      <c r="P182" s="4">
        <f>201520.57/178236.42*C182</f>
        <v>414.37821128252017</v>
      </c>
      <c r="Q182" s="4">
        <f t="shared" si="5"/>
        <v>154.21932285219822</v>
      </c>
      <c r="R182" s="4">
        <v>36383.16</v>
      </c>
    </row>
    <row r="183" spans="1:18" ht="12.75">
      <c r="A183" s="1"/>
      <c r="B183" s="5"/>
      <c r="C183" s="11"/>
      <c r="D183" s="4"/>
      <c r="E183" s="4"/>
      <c r="F183" s="7"/>
      <c r="G183" s="4"/>
      <c r="H183" s="4"/>
      <c r="I183" s="4"/>
      <c r="J183" s="4"/>
      <c r="K183" s="4"/>
      <c r="L183" s="4"/>
      <c r="M183" s="4"/>
      <c r="N183" s="15"/>
      <c r="O183" s="14"/>
      <c r="P183" s="4"/>
      <c r="Q183" s="4"/>
      <c r="R183" s="4"/>
    </row>
    <row r="184" spans="1:18" ht="12.75">
      <c r="A184" s="1" t="s">
        <v>21</v>
      </c>
      <c r="B184" s="5">
        <v>12</v>
      </c>
      <c r="C184" s="11">
        <v>289</v>
      </c>
      <c r="D184" s="4">
        <v>24692.28</v>
      </c>
      <c r="E184" s="4">
        <v>22651.17</v>
      </c>
      <c r="F184" s="7">
        <f>E184*100/D184</f>
        <v>91.73381315941663</v>
      </c>
      <c r="G184" s="4">
        <f>H184+O184+P184+Q184</f>
        <v>47775.86203919491</v>
      </c>
      <c r="H184" s="4">
        <f t="shared" si="4"/>
        <v>42472.3</v>
      </c>
      <c r="I184" s="4"/>
      <c r="J184" s="4">
        <v>224.7</v>
      </c>
      <c r="K184" s="4"/>
      <c r="L184" s="4">
        <f>138.72+2288.88</f>
        <v>2427.6</v>
      </c>
      <c r="M184" s="4">
        <v>39820</v>
      </c>
      <c r="N184" s="15">
        <v>1.4</v>
      </c>
      <c r="O184" s="14">
        <f>N184*C184*12</f>
        <v>4855.2</v>
      </c>
      <c r="P184" s="4">
        <f>201520.57/178236.42*C184</f>
        <v>326.7538964819872</v>
      </c>
      <c r="Q184" s="4">
        <f t="shared" si="5"/>
        <v>121.60814271292028</v>
      </c>
      <c r="R184" s="4">
        <v>7939.68</v>
      </c>
    </row>
    <row r="185" spans="1:18" ht="12.75">
      <c r="A185" s="1"/>
      <c r="B185" s="5"/>
      <c r="C185" s="11"/>
      <c r="D185" s="4"/>
      <c r="E185" s="4"/>
      <c r="F185" s="7"/>
      <c r="G185" s="4"/>
      <c r="H185" s="4"/>
      <c r="I185" s="4"/>
      <c r="J185" s="4"/>
      <c r="K185" s="4"/>
      <c r="L185" s="4"/>
      <c r="M185" s="4"/>
      <c r="N185" s="15"/>
      <c r="O185" s="14"/>
      <c r="P185" s="4"/>
      <c r="Q185" s="4"/>
      <c r="R185" s="4"/>
    </row>
    <row r="186" spans="1:18" ht="12.75">
      <c r="A186" s="1" t="s">
        <v>21</v>
      </c>
      <c r="B186" s="5">
        <v>13</v>
      </c>
      <c r="C186" s="11">
        <v>302.79</v>
      </c>
      <c r="D186" s="4">
        <v>25870.32</v>
      </c>
      <c r="E186" s="4">
        <v>24156.86</v>
      </c>
      <c r="F186" s="7">
        <f>E186*100/D186</f>
        <v>93.37673441998399</v>
      </c>
      <c r="G186" s="4">
        <f>H186+O186+P186+Q186</f>
        <v>51995.47820016549</v>
      </c>
      <c r="H186" s="4">
        <f t="shared" si="4"/>
        <v>46438.85</v>
      </c>
      <c r="I186" s="4"/>
      <c r="J186" s="4">
        <v>160.44</v>
      </c>
      <c r="K186" s="4"/>
      <c r="L186" s="4">
        <f>145.33+2398.08</f>
        <v>2543.41</v>
      </c>
      <c r="M186" s="4">
        <v>43735</v>
      </c>
      <c r="N186" s="15">
        <v>1.4</v>
      </c>
      <c r="O186" s="14">
        <f>N186*C186*12</f>
        <v>5086.872</v>
      </c>
      <c r="P186" s="4">
        <f>201520.57/178236.42*C186</f>
        <v>342.3453713348821</v>
      </c>
      <c r="Q186" s="4">
        <f t="shared" si="5"/>
        <v>127.410828830606</v>
      </c>
      <c r="R186" s="4">
        <v>10105.09</v>
      </c>
    </row>
    <row r="187" spans="1:18" ht="12.75">
      <c r="A187" s="1"/>
      <c r="B187" s="5"/>
      <c r="C187" s="11"/>
      <c r="D187" s="4"/>
      <c r="E187" s="4"/>
      <c r="F187" s="7"/>
      <c r="G187" s="4"/>
      <c r="H187" s="4"/>
      <c r="I187" s="4"/>
      <c r="J187" s="4"/>
      <c r="K187" s="4"/>
      <c r="L187" s="4"/>
      <c r="M187" s="4"/>
      <c r="N187" s="15"/>
      <c r="O187" s="14"/>
      <c r="P187" s="4"/>
      <c r="Q187" s="4"/>
      <c r="R187" s="4"/>
    </row>
    <row r="188" spans="1:18" ht="12.75">
      <c r="A188" s="1" t="s">
        <v>21</v>
      </c>
      <c r="B188" s="5">
        <v>14</v>
      </c>
      <c r="C188" s="11">
        <v>276.4</v>
      </c>
      <c r="D188" s="4">
        <v>23615.64</v>
      </c>
      <c r="E188" s="4">
        <v>23152.55</v>
      </c>
      <c r="F188" s="7">
        <f>E188*100/D188</f>
        <v>98.03905377961385</v>
      </c>
      <c r="G188" s="4">
        <f>H188+O188+P188+Q188</f>
        <v>11154.834074856306</v>
      </c>
      <c r="H188" s="4">
        <f t="shared" si="4"/>
        <v>6082.5</v>
      </c>
      <c r="I188" s="4"/>
      <c r="J188" s="4">
        <v>162.8</v>
      </c>
      <c r="K188" s="4"/>
      <c r="L188" s="4">
        <f>2189.04+132.7</f>
        <v>2321.74</v>
      </c>
      <c r="M188" s="4">
        <v>3597.96</v>
      </c>
      <c r="N188" s="15">
        <v>1.4</v>
      </c>
      <c r="O188" s="14">
        <f>N188*C188*12</f>
        <v>4643.519999999999</v>
      </c>
      <c r="P188" s="4">
        <f>201520.57/178236.42*C188</f>
        <v>312.5078788499006</v>
      </c>
      <c r="Q188" s="4">
        <f t="shared" si="5"/>
        <v>116.30619600640541</v>
      </c>
      <c r="R188" s="4">
        <v>455.76</v>
      </c>
    </row>
    <row r="189" spans="1:18" ht="12.75">
      <c r="A189" s="1"/>
      <c r="B189" s="5"/>
      <c r="C189" s="11"/>
      <c r="D189" s="4"/>
      <c r="E189" s="4"/>
      <c r="F189" s="7"/>
      <c r="G189" s="4"/>
      <c r="H189" s="4"/>
      <c r="I189" s="4"/>
      <c r="J189" s="4"/>
      <c r="K189" s="4"/>
      <c r="L189" s="4"/>
      <c r="M189" s="4"/>
      <c r="N189" s="15"/>
      <c r="O189" s="14"/>
      <c r="P189" s="4"/>
      <c r="Q189" s="4"/>
      <c r="R189" s="4"/>
    </row>
    <row r="190" spans="1:18" ht="12.75">
      <c r="A190" s="1" t="s">
        <v>21</v>
      </c>
      <c r="B190" s="5">
        <v>15</v>
      </c>
      <c r="C190" s="11">
        <v>317</v>
      </c>
      <c r="D190" s="4">
        <v>27084.48</v>
      </c>
      <c r="E190" s="4">
        <v>24752.68</v>
      </c>
      <c r="F190" s="7">
        <f>E190*100/D190</f>
        <v>91.39064143007361</v>
      </c>
      <c r="G190" s="4">
        <f>H190+O190+P190+Q190</f>
        <v>12513.941959947355</v>
      </c>
      <c r="H190" s="4">
        <f t="shared" si="4"/>
        <v>6696.539999999999</v>
      </c>
      <c r="I190" s="4"/>
      <c r="J190" s="4">
        <v>224.7</v>
      </c>
      <c r="K190" s="4"/>
      <c r="L190" s="4">
        <f>152.16+2510.64</f>
        <v>2662.7999999999997</v>
      </c>
      <c r="M190" s="4">
        <v>3809.04</v>
      </c>
      <c r="N190" s="15">
        <v>1.4</v>
      </c>
      <c r="O190" s="14">
        <f>N190*C190*12</f>
        <v>5325.599999999999</v>
      </c>
      <c r="P190" s="4">
        <f>201520.57/178236.42*C190</f>
        <v>358.4117134421798</v>
      </c>
      <c r="Q190" s="4">
        <f t="shared" si="5"/>
        <v>133.39024650517553</v>
      </c>
      <c r="R190" s="4">
        <v>-17161.27</v>
      </c>
    </row>
    <row r="191" spans="1:18" ht="12.75">
      <c r="A191" s="1"/>
      <c r="B191" s="5"/>
      <c r="C191" s="11"/>
      <c r="D191" s="4"/>
      <c r="E191" s="4"/>
      <c r="F191" s="7"/>
      <c r="G191" s="4"/>
      <c r="H191" s="4"/>
      <c r="I191" s="4"/>
      <c r="J191" s="4"/>
      <c r="K191" s="4"/>
      <c r="L191" s="4"/>
      <c r="M191" s="4"/>
      <c r="N191" s="15"/>
      <c r="O191" s="14"/>
      <c r="P191" s="4"/>
      <c r="Q191" s="4"/>
      <c r="R191" s="4"/>
    </row>
    <row r="192" spans="1:18" ht="12.75">
      <c r="A192" s="1" t="s">
        <v>21</v>
      </c>
      <c r="B192" s="5">
        <v>17</v>
      </c>
      <c r="C192" s="11">
        <v>278.5</v>
      </c>
      <c r="D192" s="4">
        <v>23795.04</v>
      </c>
      <c r="E192" s="4">
        <v>21828.55</v>
      </c>
      <c r="F192" s="7">
        <f>E192*100/D192</f>
        <v>91.73571466994802</v>
      </c>
      <c r="G192" s="4">
        <f>H192+O192+P192+Q192</f>
        <v>11238.172068912738</v>
      </c>
      <c r="H192" s="4">
        <f t="shared" si="4"/>
        <v>6127.299999999999</v>
      </c>
      <c r="I192" s="4"/>
      <c r="J192" s="4">
        <v>178.9</v>
      </c>
      <c r="K192" s="4"/>
      <c r="L192" s="4">
        <f>2205.72+133.68</f>
        <v>2339.3999999999996</v>
      </c>
      <c r="M192" s="4">
        <v>3609</v>
      </c>
      <c r="N192" s="15">
        <v>1.4</v>
      </c>
      <c r="O192" s="14">
        <f>N192*C192*12</f>
        <v>4678.799999999999</v>
      </c>
      <c r="P192" s="4">
        <f>201520.57/178236.42*C192</f>
        <v>314.88221512191507</v>
      </c>
      <c r="Q192" s="4">
        <f t="shared" si="5"/>
        <v>117.18985379082456</v>
      </c>
      <c r="R192" s="4">
        <v>6327.09</v>
      </c>
    </row>
    <row r="193" spans="1:18" ht="12.75">
      <c r="A193" s="1"/>
      <c r="B193" s="5"/>
      <c r="C193" s="11"/>
      <c r="D193" s="4"/>
      <c r="E193" s="4"/>
      <c r="F193" s="7"/>
      <c r="G193" s="4"/>
      <c r="H193" s="4"/>
      <c r="I193" s="4"/>
      <c r="J193" s="4"/>
      <c r="K193" s="4"/>
      <c r="L193" s="4"/>
      <c r="M193" s="4"/>
      <c r="N193" s="15"/>
      <c r="O193" s="14"/>
      <c r="P193" s="4"/>
      <c r="Q193" s="4"/>
      <c r="R193" s="4"/>
    </row>
    <row r="194" spans="1:18" ht="12.75">
      <c r="A194" s="1" t="s">
        <v>21</v>
      </c>
      <c r="B194" s="5">
        <v>18</v>
      </c>
      <c r="C194" s="11">
        <v>280.2</v>
      </c>
      <c r="D194" s="4">
        <v>23940.24</v>
      </c>
      <c r="E194" s="4">
        <v>22406.28</v>
      </c>
      <c r="F194" s="7">
        <f>E194*100/D194</f>
        <v>93.59254543814096</v>
      </c>
      <c r="G194" s="4">
        <f>H194+O194+P194+Q194</f>
        <v>11288.059492672708</v>
      </c>
      <c r="H194" s="4">
        <f t="shared" si="4"/>
        <v>6145.99</v>
      </c>
      <c r="I194" s="4"/>
      <c r="J194" s="4">
        <v>174.32</v>
      </c>
      <c r="K194" s="4"/>
      <c r="L194" s="4">
        <f>2219.16+134.51</f>
        <v>2353.67</v>
      </c>
      <c r="M194" s="4">
        <v>3618</v>
      </c>
      <c r="N194" s="15">
        <v>1.4</v>
      </c>
      <c r="O194" s="14">
        <f>N194*C194*12</f>
        <v>4707.36</v>
      </c>
      <c r="P194" s="4">
        <f>201520.57/178236.42*C194</f>
        <v>316.80429686592674</v>
      </c>
      <c r="Q194" s="4">
        <f t="shared" si="5"/>
        <v>117.90519580678291</v>
      </c>
      <c r="R194" s="4">
        <v>3803.28</v>
      </c>
    </row>
    <row r="195" spans="1:18" ht="12.75">
      <c r="A195" s="1"/>
      <c r="B195" s="5"/>
      <c r="C195" s="11"/>
      <c r="D195" s="4"/>
      <c r="E195" s="4"/>
      <c r="F195" s="7"/>
      <c r="G195" s="4"/>
      <c r="H195" s="4"/>
      <c r="I195" s="4"/>
      <c r="J195" s="4"/>
      <c r="K195" s="4"/>
      <c r="L195" s="4"/>
      <c r="M195" s="4"/>
      <c r="N195" s="15"/>
      <c r="O195" s="14"/>
      <c r="P195" s="4"/>
      <c r="Q195" s="4"/>
      <c r="R195" s="4"/>
    </row>
    <row r="196" spans="1:18" ht="12.75">
      <c r="A196" s="1" t="s">
        <v>21</v>
      </c>
      <c r="B196" s="5">
        <v>20</v>
      </c>
      <c r="C196" s="11">
        <v>280.3</v>
      </c>
      <c r="D196" s="4">
        <v>23948.88</v>
      </c>
      <c r="E196" s="4">
        <v>21362.05</v>
      </c>
      <c r="F196" s="7">
        <f>E196*100/D196</f>
        <v>89.19853454524804</v>
      </c>
      <c r="G196" s="4">
        <f>H196+O196+P196+Q196</f>
        <v>11279.234635246825</v>
      </c>
      <c r="H196" s="4">
        <f t="shared" si="4"/>
        <v>6135.33</v>
      </c>
      <c r="I196" s="4"/>
      <c r="J196" s="4">
        <v>162.8</v>
      </c>
      <c r="K196" s="4"/>
      <c r="L196" s="4">
        <f>134.53+2220</f>
        <v>2354.53</v>
      </c>
      <c r="M196" s="4">
        <v>3618</v>
      </c>
      <c r="N196" s="15">
        <v>1.4</v>
      </c>
      <c r="O196" s="14">
        <f>N196*C196*12</f>
        <v>4709.04</v>
      </c>
      <c r="P196" s="4">
        <f>201520.57/178236.42*C196</f>
        <v>316.91736049792746</v>
      </c>
      <c r="Q196" s="4">
        <f t="shared" si="5"/>
        <v>117.94727474889811</v>
      </c>
      <c r="R196" s="4">
        <v>2777.21</v>
      </c>
    </row>
    <row r="197" spans="1:18" ht="12.75">
      <c r="A197" s="1"/>
      <c r="B197" s="5"/>
      <c r="C197" s="11"/>
      <c r="D197" s="4"/>
      <c r="E197" s="4"/>
      <c r="F197" s="7"/>
      <c r="G197" s="4"/>
      <c r="H197" s="4"/>
      <c r="I197" s="4"/>
      <c r="J197" s="4"/>
      <c r="K197" s="4"/>
      <c r="L197" s="4"/>
      <c r="M197" s="4"/>
      <c r="N197" s="15"/>
      <c r="O197" s="14"/>
      <c r="P197" s="4"/>
      <c r="Q197" s="4"/>
      <c r="R197" s="4"/>
    </row>
    <row r="198" spans="1:18" ht="12.75">
      <c r="A198" s="33" t="s">
        <v>28</v>
      </c>
      <c r="B198" s="63">
        <v>3</v>
      </c>
      <c r="C198" s="67"/>
      <c r="D198" s="68"/>
      <c r="E198" s="68"/>
      <c r="F198" s="69"/>
      <c r="G198" s="4"/>
      <c r="H198" s="4"/>
      <c r="I198" s="68"/>
      <c r="J198" s="68"/>
      <c r="K198" s="68"/>
      <c r="L198" s="68"/>
      <c r="M198" s="68"/>
      <c r="N198" s="70">
        <v>2.35</v>
      </c>
      <c r="O198" s="14">
        <f>N198*C198*12</f>
        <v>0</v>
      </c>
      <c r="P198" s="4"/>
      <c r="Q198" s="4">
        <f t="shared" si="5"/>
        <v>0</v>
      </c>
      <c r="R198" s="68"/>
    </row>
    <row r="199" spans="1:18" ht="12.75">
      <c r="A199" s="28" t="s">
        <v>43</v>
      </c>
      <c r="B199" s="29"/>
      <c r="C199" s="30">
        <v>1265.3</v>
      </c>
      <c r="D199" s="26">
        <v>145948.81</v>
      </c>
      <c r="E199" s="26">
        <v>130414.53</v>
      </c>
      <c r="F199" s="71">
        <f>E199*100/D199</f>
        <v>89.35635035325058</v>
      </c>
      <c r="G199" s="4">
        <f>H199+O199+P199+Q199</f>
        <v>121095.44899028828</v>
      </c>
      <c r="H199" s="4">
        <f t="shared" si="4"/>
        <v>83450.97</v>
      </c>
      <c r="I199" s="26">
        <v>1310.4</v>
      </c>
      <c r="J199" s="26">
        <v>765.63</v>
      </c>
      <c r="K199" s="26"/>
      <c r="L199" s="26">
        <f>10143.12+608.9</f>
        <v>10752.02</v>
      </c>
      <c r="M199" s="26">
        <v>70622.92</v>
      </c>
      <c r="N199" s="31">
        <v>2.35</v>
      </c>
      <c r="O199" s="27">
        <f>N199*C199*12</f>
        <v>35681.46</v>
      </c>
      <c r="P199" s="4">
        <f aca="true" t="shared" si="6" ref="P199:P204">201520.57/178236.42*C199</f>
        <v>1430.5941357047006</v>
      </c>
      <c r="Q199" s="4">
        <f t="shared" si="5"/>
        <v>532.4248545835918</v>
      </c>
      <c r="R199" s="26">
        <v>74803.24</v>
      </c>
    </row>
    <row r="200" spans="1:18" s="22" customFormat="1" ht="12.75">
      <c r="A200" s="28" t="s">
        <v>45</v>
      </c>
      <c r="B200" s="29"/>
      <c r="C200" s="30">
        <f>SUM(C201:C203)</f>
        <v>753.8</v>
      </c>
      <c r="D200" s="26">
        <f aca="true" t="shared" si="7" ref="D200:M200">SUM(D201:D203)</f>
        <v>45047.04000000001</v>
      </c>
      <c r="E200" s="26">
        <f t="shared" si="7"/>
        <v>44316.7</v>
      </c>
      <c r="F200" s="30">
        <f t="shared" si="7"/>
        <v>295.06809611790004</v>
      </c>
      <c r="G200" s="4">
        <f>H200+O200+P200+Q200</f>
        <v>22426.624723685538</v>
      </c>
      <c r="H200" s="4">
        <f t="shared" si="4"/>
        <v>0</v>
      </c>
      <c r="I200" s="26">
        <f t="shared" si="7"/>
        <v>0</v>
      </c>
      <c r="J200" s="26">
        <f t="shared" si="7"/>
        <v>0</v>
      </c>
      <c r="K200" s="26">
        <f t="shared" si="7"/>
        <v>0</v>
      </c>
      <c r="L200" s="26">
        <f t="shared" si="7"/>
        <v>0</v>
      </c>
      <c r="M200" s="26">
        <f t="shared" si="7"/>
        <v>0</v>
      </c>
      <c r="N200" s="31">
        <v>2.35</v>
      </c>
      <c r="O200" s="27">
        <f>N200*C200*12</f>
        <v>21257.16</v>
      </c>
      <c r="P200" s="4">
        <f t="shared" si="6"/>
        <v>852.2736580211833</v>
      </c>
      <c r="Q200" s="4">
        <f t="shared" si="5"/>
        <v>317.19106566435744</v>
      </c>
      <c r="R200" s="26">
        <v>1654.8</v>
      </c>
    </row>
    <row r="201" spans="1:18" s="19" customFormat="1" ht="12.75">
      <c r="A201" s="3" t="s">
        <v>40</v>
      </c>
      <c r="B201" s="5"/>
      <c r="C201" s="11">
        <v>315.2</v>
      </c>
      <c r="D201" s="4">
        <v>18836.4</v>
      </c>
      <c r="E201" s="4">
        <f>D201</f>
        <v>18836.4</v>
      </c>
      <c r="F201" s="7">
        <f>E201*100/D201</f>
        <v>100</v>
      </c>
      <c r="G201" s="4">
        <f>H201+O201+P201+Q201</f>
        <v>9377.649393613268</v>
      </c>
      <c r="H201" s="4">
        <f aca="true" t="shared" si="8" ref="H201:H264">I201+J201+K201+L201+M201</f>
        <v>0</v>
      </c>
      <c r="I201" s="4"/>
      <c r="J201" s="4"/>
      <c r="K201" s="4"/>
      <c r="L201" s="4"/>
      <c r="M201" s="4"/>
      <c r="N201" s="15">
        <v>2.35</v>
      </c>
      <c r="O201" s="14">
        <f>N201*C201*12</f>
        <v>8888.64</v>
      </c>
      <c r="P201" s="4">
        <f t="shared" si="6"/>
        <v>356.3765680661674</v>
      </c>
      <c r="Q201" s="4">
        <f aca="true" t="shared" si="9" ref="Q201:Q264">C201*75000/178236.42</f>
        <v>132.632825547102</v>
      </c>
      <c r="R201" s="4"/>
    </row>
    <row r="202" spans="1:18" s="19" customFormat="1" ht="12.75">
      <c r="A202" s="3" t="s">
        <v>41</v>
      </c>
      <c r="B202" s="5"/>
      <c r="C202" s="11">
        <v>247.8</v>
      </c>
      <c r="D202" s="4">
        <v>14808.48</v>
      </c>
      <c r="E202" s="4">
        <v>14078.14</v>
      </c>
      <c r="F202" s="7">
        <f>E202*100/D202</f>
        <v>95.06809611790001</v>
      </c>
      <c r="G202" s="4">
        <f>H202+O202+P202+Q202</f>
        <v>7372.403298659164</v>
      </c>
      <c r="H202" s="4">
        <f t="shared" si="8"/>
        <v>0</v>
      </c>
      <c r="I202" s="4"/>
      <c r="J202" s="4"/>
      <c r="K202" s="4"/>
      <c r="L202" s="4"/>
      <c r="M202" s="4"/>
      <c r="N202" s="15">
        <v>2.35</v>
      </c>
      <c r="O202" s="14">
        <f>N202*C202*12</f>
        <v>6987.960000000001</v>
      </c>
      <c r="P202" s="4">
        <f t="shared" si="6"/>
        <v>280.171680097704</v>
      </c>
      <c r="Q202" s="4">
        <f t="shared" si="9"/>
        <v>104.27161856145898</v>
      </c>
      <c r="R202" s="4"/>
    </row>
    <row r="203" spans="1:18" s="19" customFormat="1" ht="12.75">
      <c r="A203" s="3" t="s">
        <v>42</v>
      </c>
      <c r="B203" s="5"/>
      <c r="C203" s="11">
        <v>190.8</v>
      </c>
      <c r="D203" s="4">
        <v>11402.16</v>
      </c>
      <c r="E203" s="4">
        <v>11402.16</v>
      </c>
      <c r="F203" s="7">
        <f>E203*100/D203</f>
        <v>100</v>
      </c>
      <c r="G203" s="4">
        <f>H203+O203+P203+Q203</f>
        <v>5676.572031413109</v>
      </c>
      <c r="H203" s="4">
        <f t="shared" si="8"/>
        <v>0</v>
      </c>
      <c r="I203" s="4"/>
      <c r="J203" s="4"/>
      <c r="K203" s="4"/>
      <c r="L203" s="4"/>
      <c r="M203" s="4"/>
      <c r="N203" s="15">
        <v>2.35</v>
      </c>
      <c r="O203" s="14">
        <f>N203*C203*12</f>
        <v>5380.56</v>
      </c>
      <c r="P203" s="4">
        <f t="shared" si="6"/>
        <v>215.725409857312</v>
      </c>
      <c r="Q203" s="4">
        <f t="shared" si="9"/>
        <v>80.2866215557965</v>
      </c>
      <c r="R203" s="4"/>
    </row>
    <row r="204" spans="1:18" s="22" customFormat="1" ht="12.75">
      <c r="A204" s="2" t="s">
        <v>72</v>
      </c>
      <c r="B204" s="23">
        <v>3</v>
      </c>
      <c r="C204" s="24">
        <f>C200+C199</f>
        <v>2019.1</v>
      </c>
      <c r="D204" s="10">
        <f aca="true" t="shared" si="10" ref="D204:R204">D200+D199</f>
        <v>190995.85</v>
      </c>
      <c r="E204" s="10">
        <f t="shared" si="10"/>
        <v>174731.22999999998</v>
      </c>
      <c r="F204" s="25">
        <f>E204*100/D204</f>
        <v>91.48430711976202</v>
      </c>
      <c r="G204" s="4">
        <f>H204+O204+P204+Q204</f>
        <v>143522.07371397383</v>
      </c>
      <c r="H204" s="4">
        <f t="shared" si="8"/>
        <v>83450.97</v>
      </c>
      <c r="I204" s="10">
        <f t="shared" si="10"/>
        <v>1310.4</v>
      </c>
      <c r="J204" s="10">
        <f t="shared" si="10"/>
        <v>765.63</v>
      </c>
      <c r="K204" s="10">
        <f t="shared" si="10"/>
        <v>0</v>
      </c>
      <c r="L204" s="10">
        <f t="shared" si="10"/>
        <v>10752.02</v>
      </c>
      <c r="M204" s="10">
        <f t="shared" si="10"/>
        <v>70622.92</v>
      </c>
      <c r="N204" s="15">
        <v>2.35</v>
      </c>
      <c r="O204" s="10">
        <f t="shared" si="10"/>
        <v>56938.619999999995</v>
      </c>
      <c r="P204" s="4">
        <f t="shared" si="6"/>
        <v>2282.867793725884</v>
      </c>
      <c r="Q204" s="4">
        <f t="shared" si="9"/>
        <v>849.6159202479492</v>
      </c>
      <c r="R204" s="10">
        <f t="shared" si="10"/>
        <v>76458.04000000001</v>
      </c>
    </row>
    <row r="205" spans="1:18" ht="12.75">
      <c r="A205" s="1"/>
      <c r="B205" s="5"/>
      <c r="C205" s="11"/>
      <c r="D205" s="4"/>
      <c r="E205" s="4"/>
      <c r="F205" s="7"/>
      <c r="G205" s="4"/>
      <c r="H205" s="4">
        <f t="shared" si="8"/>
        <v>0</v>
      </c>
      <c r="I205" s="4"/>
      <c r="J205" s="4"/>
      <c r="K205" s="4"/>
      <c r="L205" s="4"/>
      <c r="M205" s="4"/>
      <c r="N205" s="15"/>
      <c r="O205" s="14"/>
      <c r="P205" s="4"/>
      <c r="Q205" s="4"/>
      <c r="R205" s="4"/>
    </row>
    <row r="206" spans="1:18" ht="12.75">
      <c r="A206" s="1" t="s">
        <v>28</v>
      </c>
      <c r="B206" s="5">
        <v>4</v>
      </c>
      <c r="C206" s="11">
        <v>1334.85</v>
      </c>
      <c r="D206" s="4">
        <v>114593.94</v>
      </c>
      <c r="E206" s="4">
        <v>102704.22</v>
      </c>
      <c r="F206" s="7">
        <f>E206*100/D206</f>
        <v>89.62447752472775</v>
      </c>
      <c r="G206" s="4">
        <f>H206+O206+P206+Q206</f>
        <v>134685.43065058588</v>
      </c>
      <c r="H206" s="4">
        <f t="shared" si="8"/>
        <v>110189.03</v>
      </c>
      <c r="I206" s="4">
        <v>805</v>
      </c>
      <c r="J206" s="4">
        <v>775</v>
      </c>
      <c r="K206" s="4"/>
      <c r="L206" s="4">
        <f>10696.8+648.26</f>
        <v>11345.06</v>
      </c>
      <c r="M206" s="4">
        <v>97263.97</v>
      </c>
      <c r="N206" s="15">
        <v>1.4</v>
      </c>
      <c r="O206" s="14">
        <f>N206*C206*12</f>
        <v>22425.479999999996</v>
      </c>
      <c r="P206" s="4">
        <f>201520.57/178236.42*C206</f>
        <v>1509.2298917611788</v>
      </c>
      <c r="Q206" s="4">
        <f t="shared" si="9"/>
        <v>561.6907588247116</v>
      </c>
      <c r="R206" s="4">
        <v>83782.45</v>
      </c>
    </row>
    <row r="207" spans="1:18" ht="12.75">
      <c r="A207" s="1"/>
      <c r="B207" s="5"/>
      <c r="C207" s="11"/>
      <c r="D207" s="4"/>
      <c r="E207" s="4"/>
      <c r="F207" s="7"/>
      <c r="G207" s="4"/>
      <c r="H207" s="4"/>
      <c r="I207" s="4"/>
      <c r="J207" s="4"/>
      <c r="K207" s="4"/>
      <c r="L207" s="4"/>
      <c r="M207" s="4"/>
      <c r="N207" s="15"/>
      <c r="O207" s="14"/>
      <c r="P207" s="4"/>
      <c r="Q207" s="4"/>
      <c r="R207" s="4"/>
    </row>
    <row r="208" spans="1:18" ht="12.75">
      <c r="A208" s="1" t="s">
        <v>28</v>
      </c>
      <c r="B208" s="5" t="s">
        <v>22</v>
      </c>
      <c r="C208" s="11">
        <v>696.84</v>
      </c>
      <c r="D208" s="4">
        <v>86470.26</v>
      </c>
      <c r="E208" s="4">
        <v>74491.46</v>
      </c>
      <c r="F208" s="7">
        <f>E208*100/D208</f>
        <v>86.1469134012087</v>
      </c>
      <c r="G208" s="4">
        <f>H208+O208+P208+Q208</f>
        <v>57003.86351346913</v>
      </c>
      <c r="H208" s="4">
        <f t="shared" si="8"/>
        <v>36271.88</v>
      </c>
      <c r="I208" s="4"/>
      <c r="J208" s="4">
        <v>449.26</v>
      </c>
      <c r="K208" s="4"/>
      <c r="L208" s="4">
        <f>5479.2+334.46</f>
        <v>5813.66</v>
      </c>
      <c r="M208" s="4">
        <v>30008.96</v>
      </c>
      <c r="N208" s="15">
        <v>2.35</v>
      </c>
      <c r="O208" s="14">
        <f>N208*C208*12</f>
        <v>19650.888</v>
      </c>
      <c r="P208" s="4">
        <f>201520.57/178236.42*C208</f>
        <v>787.8726132335917</v>
      </c>
      <c r="Q208" s="4">
        <f t="shared" si="9"/>
        <v>293.2229002355411</v>
      </c>
      <c r="R208" s="4">
        <v>56542.15</v>
      </c>
    </row>
    <row r="209" spans="1:18" ht="12.75">
      <c r="A209" s="1"/>
      <c r="B209" s="5"/>
      <c r="C209" s="11"/>
      <c r="D209" s="4"/>
      <c r="E209" s="4"/>
      <c r="F209" s="7"/>
      <c r="G209" s="4"/>
      <c r="H209" s="4"/>
      <c r="I209" s="4"/>
      <c r="J209" s="4"/>
      <c r="K209" s="4"/>
      <c r="L209" s="4"/>
      <c r="M209" s="4"/>
      <c r="N209" s="15"/>
      <c r="O209" s="14"/>
      <c r="P209" s="4"/>
      <c r="Q209" s="4"/>
      <c r="R209" s="4"/>
    </row>
    <row r="210" spans="1:18" ht="12.75">
      <c r="A210" s="1" t="s">
        <v>28</v>
      </c>
      <c r="B210" s="5">
        <v>19</v>
      </c>
      <c r="C210" s="11">
        <v>51.6</v>
      </c>
      <c r="D210" s="4">
        <v>4425.82</v>
      </c>
      <c r="E210" s="4">
        <v>1119.31</v>
      </c>
      <c r="F210" s="7">
        <f>E210*100/D210</f>
        <v>25.290454650211714</v>
      </c>
      <c r="G210" s="4">
        <f>H210+O210+P210+Q210</f>
        <v>1232.2755682437964</v>
      </c>
      <c r="H210" s="4">
        <f t="shared" si="8"/>
        <v>402.99</v>
      </c>
      <c r="I210" s="4"/>
      <c r="J210" s="4">
        <v>41.29</v>
      </c>
      <c r="K210" s="4"/>
      <c r="L210" s="4">
        <f>24.74</f>
        <v>24.74</v>
      </c>
      <c r="M210" s="4">
        <v>336.96</v>
      </c>
      <c r="N210" s="15">
        <v>1.21</v>
      </c>
      <c r="O210" s="14">
        <f>N210*C210*12</f>
        <v>749.232</v>
      </c>
      <c r="P210" s="4">
        <f>201520.57/178236.42*C210</f>
        <v>58.34083411235482</v>
      </c>
      <c r="Q210" s="4">
        <f t="shared" si="9"/>
        <v>21.71273413144182</v>
      </c>
      <c r="R210" s="4">
        <v>6007.53</v>
      </c>
    </row>
    <row r="211" spans="1:18" ht="12.75">
      <c r="A211" s="1"/>
      <c r="B211" s="5"/>
      <c r="C211" s="11"/>
      <c r="D211" s="4"/>
      <c r="E211" s="4"/>
      <c r="F211" s="7"/>
      <c r="G211" s="4"/>
      <c r="H211" s="4"/>
      <c r="I211" s="4"/>
      <c r="J211" s="4"/>
      <c r="K211" s="4"/>
      <c r="L211" s="4"/>
      <c r="M211" s="4"/>
      <c r="N211" s="15"/>
      <c r="O211" s="14"/>
      <c r="P211" s="4"/>
      <c r="Q211" s="4"/>
      <c r="R211" s="4"/>
    </row>
    <row r="212" spans="1:18" ht="12.75">
      <c r="A212" s="1" t="s">
        <v>29</v>
      </c>
      <c r="B212" s="5">
        <v>10</v>
      </c>
      <c r="C212" s="11">
        <v>569.9</v>
      </c>
      <c r="D212" s="4">
        <v>26520.92</v>
      </c>
      <c r="E212" s="4">
        <v>23779.33</v>
      </c>
      <c r="F212" s="7">
        <f>E212*100/D212</f>
        <v>89.66253810199646</v>
      </c>
      <c r="G212" s="4">
        <f>H212+O212+P212+Q212</f>
        <v>25597.857529886427</v>
      </c>
      <c r="H212" s="4">
        <f t="shared" si="8"/>
        <v>15139.380000000001</v>
      </c>
      <c r="I212" s="4"/>
      <c r="J212" s="4"/>
      <c r="K212" s="4"/>
      <c r="L212" s="4">
        <f>273.58+4927.8</f>
        <v>5201.38</v>
      </c>
      <c r="M212" s="4">
        <f>9938</f>
        <v>9938</v>
      </c>
      <c r="N212" s="15">
        <v>1.4</v>
      </c>
      <c r="O212" s="14">
        <f>N212*C212*12</f>
        <v>9574.32</v>
      </c>
      <c r="P212" s="4">
        <f>201520.57/178236.42*C212</f>
        <v>644.3496387719188</v>
      </c>
      <c r="Q212" s="4">
        <f t="shared" si="9"/>
        <v>239.80789111450957</v>
      </c>
      <c r="R212" s="4">
        <v>73498.53</v>
      </c>
    </row>
    <row r="213" spans="1:18" ht="12.75">
      <c r="A213" s="1"/>
      <c r="B213" s="5"/>
      <c r="C213" s="11"/>
      <c r="D213" s="4"/>
      <c r="E213" s="4"/>
      <c r="F213" s="7"/>
      <c r="G213" s="4"/>
      <c r="H213" s="4"/>
      <c r="I213" s="4"/>
      <c r="J213" s="4"/>
      <c r="K213" s="4"/>
      <c r="L213" s="4"/>
      <c r="M213" s="4"/>
      <c r="N213" s="15"/>
      <c r="O213" s="14"/>
      <c r="P213" s="4"/>
      <c r="Q213" s="4"/>
      <c r="R213" s="4"/>
    </row>
    <row r="214" spans="1:18" ht="12.75">
      <c r="A214" s="1" t="s">
        <v>29</v>
      </c>
      <c r="B214" s="5">
        <v>6</v>
      </c>
      <c r="C214" s="11">
        <v>820.2</v>
      </c>
      <c r="D214" s="4">
        <v>49956.99</v>
      </c>
      <c r="E214" s="4">
        <v>47501.1</v>
      </c>
      <c r="F214" s="7">
        <f>E214*100/D214</f>
        <v>95.08399124927263</v>
      </c>
      <c r="G214" s="4">
        <f>H214+O214+P214+Q214</f>
        <v>39090.51939289849</v>
      </c>
      <c r="H214" s="4">
        <f t="shared" si="8"/>
        <v>24038.68</v>
      </c>
      <c r="I214" s="4"/>
      <c r="J214" s="4"/>
      <c r="K214" s="4"/>
      <c r="L214" s="4">
        <f>399.38+6590.28</f>
        <v>6989.66</v>
      </c>
      <c r="M214" s="4">
        <v>17049.02</v>
      </c>
      <c r="N214" s="15">
        <v>1.4</v>
      </c>
      <c r="O214" s="14">
        <f>N214*C214*12</f>
        <v>13779.36</v>
      </c>
      <c r="P214" s="4">
        <f>201520.57/178236.42*C214</f>
        <v>927.34790966964</v>
      </c>
      <c r="Q214" s="4">
        <f t="shared" si="9"/>
        <v>345.1314832288485</v>
      </c>
      <c r="R214" s="4">
        <v>42789.53</v>
      </c>
    </row>
    <row r="215" spans="1:18" ht="12.75">
      <c r="A215" s="1"/>
      <c r="B215" s="5"/>
      <c r="C215" s="11"/>
      <c r="D215" s="4"/>
      <c r="E215" s="4"/>
      <c r="F215" s="7"/>
      <c r="G215" s="4"/>
      <c r="H215" s="4"/>
      <c r="I215" s="4"/>
      <c r="J215" s="4"/>
      <c r="K215" s="4"/>
      <c r="L215" s="4"/>
      <c r="M215" s="4"/>
      <c r="N215" s="15"/>
      <c r="O215" s="14"/>
      <c r="P215" s="4"/>
      <c r="Q215" s="4"/>
      <c r="R215" s="4"/>
    </row>
    <row r="216" spans="1:18" ht="12.75">
      <c r="A216" s="1" t="s">
        <v>29</v>
      </c>
      <c r="B216" s="5">
        <v>8</v>
      </c>
      <c r="C216" s="11">
        <v>559.2</v>
      </c>
      <c r="D216" s="4">
        <v>32839.52</v>
      </c>
      <c r="E216" s="4">
        <v>29516.27</v>
      </c>
      <c r="F216" s="7">
        <f>E216*100/D216</f>
        <v>89.88033320828076</v>
      </c>
      <c r="G216" s="4">
        <f>H216+O216+P216+Q216</f>
        <v>26470.74727445603</v>
      </c>
      <c r="H216" s="4">
        <f t="shared" si="8"/>
        <v>16208.630000000001</v>
      </c>
      <c r="I216" s="4"/>
      <c r="J216" s="4"/>
      <c r="K216" s="4"/>
      <c r="L216" s="4">
        <f>4428.84+268.43</f>
        <v>4697.27</v>
      </c>
      <c r="M216" s="4">
        <f>11511.36</f>
        <v>11511.36</v>
      </c>
      <c r="N216" s="15">
        <v>1.4</v>
      </c>
      <c r="O216" s="14">
        <f>N216*C216*12</f>
        <v>9394.56</v>
      </c>
      <c r="P216" s="4">
        <f>201520.57/178236.42*C216</f>
        <v>632.2518301478452</v>
      </c>
      <c r="Q216" s="4">
        <f t="shared" si="9"/>
        <v>235.30544430818347</v>
      </c>
      <c r="R216" s="4">
        <v>42791.96</v>
      </c>
    </row>
    <row r="217" spans="1:18" ht="12.75">
      <c r="A217" s="1"/>
      <c r="B217" s="5"/>
      <c r="C217" s="11"/>
      <c r="D217" s="4"/>
      <c r="E217" s="4"/>
      <c r="F217" s="7"/>
      <c r="G217" s="4"/>
      <c r="H217" s="4"/>
      <c r="I217" s="4"/>
      <c r="J217" s="4"/>
      <c r="K217" s="4"/>
      <c r="L217" s="4"/>
      <c r="M217" s="4"/>
      <c r="N217" s="15"/>
      <c r="O217" s="14"/>
      <c r="P217" s="4"/>
      <c r="Q217" s="4"/>
      <c r="R217" s="4"/>
    </row>
    <row r="218" spans="1:18" ht="12.75">
      <c r="A218" s="1" t="s">
        <v>30</v>
      </c>
      <c r="B218" s="5">
        <v>15</v>
      </c>
      <c r="C218" s="11">
        <v>480.5</v>
      </c>
      <c r="D218" s="4">
        <v>56495.79</v>
      </c>
      <c r="E218" s="4">
        <v>52364.63</v>
      </c>
      <c r="F218" s="7">
        <f>E218*100/D218</f>
        <v>92.68766752354468</v>
      </c>
      <c r="G218" s="4">
        <f>H218+O218+P218+Q218</f>
        <v>33751.790068626826</v>
      </c>
      <c r="H218" s="4">
        <f t="shared" si="8"/>
        <v>19456.23</v>
      </c>
      <c r="I218" s="4"/>
      <c r="J218" s="4">
        <v>412.9</v>
      </c>
      <c r="K218" s="4"/>
      <c r="L218" s="4">
        <f>230.64+3805.56</f>
        <v>4036.2</v>
      </c>
      <c r="M218" s="4">
        <v>15007.13</v>
      </c>
      <c r="N218" s="15">
        <v>2.35</v>
      </c>
      <c r="O218" s="14">
        <f>N218*C218*12</f>
        <v>13550.099999999999</v>
      </c>
      <c r="P218" s="4">
        <f>201520.57/178236.42*C218</f>
        <v>543.270751763304</v>
      </c>
      <c r="Q218" s="4">
        <f t="shared" si="9"/>
        <v>202.18931686352317</v>
      </c>
      <c r="R218" s="4">
        <v>23555.96</v>
      </c>
    </row>
    <row r="219" spans="1:18" ht="12.75">
      <c r="A219" s="1"/>
      <c r="B219" s="5"/>
      <c r="C219" s="11"/>
      <c r="D219" s="4"/>
      <c r="E219" s="4"/>
      <c r="F219" s="7"/>
      <c r="G219" s="4"/>
      <c r="H219" s="4"/>
      <c r="I219" s="4"/>
      <c r="J219" s="4"/>
      <c r="K219" s="4"/>
      <c r="L219" s="4"/>
      <c r="M219" s="4"/>
      <c r="N219" s="15"/>
      <c r="O219" s="14"/>
      <c r="P219" s="4"/>
      <c r="Q219" s="4"/>
      <c r="R219" s="4"/>
    </row>
    <row r="220" spans="1:18" ht="12.75">
      <c r="A220" s="1" t="s">
        <v>30</v>
      </c>
      <c r="B220" s="5">
        <v>16</v>
      </c>
      <c r="C220" s="11">
        <v>551.2</v>
      </c>
      <c r="D220" s="4">
        <v>69708.81</v>
      </c>
      <c r="E220" s="4">
        <v>61920.58</v>
      </c>
      <c r="F220" s="7">
        <f>E220*100/D220</f>
        <v>88.82748106014147</v>
      </c>
      <c r="G220" s="4">
        <f>H220+O220+P220+Q220</f>
        <v>47439.40586852676</v>
      </c>
      <c r="H220" s="4">
        <f t="shared" si="8"/>
        <v>31040.42</v>
      </c>
      <c r="I220" s="4">
        <v>285.6</v>
      </c>
      <c r="J220" s="4">
        <v>320.88</v>
      </c>
      <c r="K220" s="4"/>
      <c r="L220" s="4">
        <f>4384.32+265.7</f>
        <v>4650.0199999999995</v>
      </c>
      <c r="M220" s="4">
        <v>25783.92</v>
      </c>
      <c r="N220" s="15">
        <v>2.35</v>
      </c>
      <c r="O220" s="14">
        <f>N220*C220*12</f>
        <v>15543.840000000002</v>
      </c>
      <c r="P220" s="4">
        <f>201520.57/178236.42*C220</f>
        <v>623.2067395877903</v>
      </c>
      <c r="Q220" s="4">
        <f t="shared" si="9"/>
        <v>231.93912893896768</v>
      </c>
      <c r="R220" s="4">
        <v>53973.44</v>
      </c>
    </row>
    <row r="221" spans="1:18" ht="12.75">
      <c r="A221" s="1"/>
      <c r="B221" s="5"/>
      <c r="C221" s="11"/>
      <c r="D221" s="4"/>
      <c r="E221" s="4"/>
      <c r="F221" s="7"/>
      <c r="G221" s="4"/>
      <c r="H221" s="4"/>
      <c r="I221" s="4"/>
      <c r="J221" s="4"/>
      <c r="K221" s="4"/>
      <c r="L221" s="4"/>
      <c r="M221" s="4"/>
      <c r="N221" s="15"/>
      <c r="O221" s="14"/>
      <c r="P221" s="4"/>
      <c r="Q221" s="4"/>
      <c r="R221" s="4"/>
    </row>
    <row r="222" spans="1:18" ht="12.75">
      <c r="A222" s="1" t="s">
        <v>33</v>
      </c>
      <c r="B222" s="5">
        <v>1</v>
      </c>
      <c r="C222" s="11">
        <v>566.2</v>
      </c>
      <c r="D222" s="4">
        <v>44639.04</v>
      </c>
      <c r="E222" s="4">
        <v>39105.02</v>
      </c>
      <c r="F222" s="7">
        <f>E222*100/D222</f>
        <v>87.60273518426918</v>
      </c>
      <c r="G222" s="4">
        <f>H222+O222+P222+Q222</f>
        <v>52159.63125464414</v>
      </c>
      <c r="H222" s="4">
        <f t="shared" si="8"/>
        <v>36945.03</v>
      </c>
      <c r="I222" s="4"/>
      <c r="J222" s="4"/>
      <c r="K222" s="4"/>
      <c r="L222" s="4">
        <f>271.79+4484.28</f>
        <v>4756.07</v>
      </c>
      <c r="M222" s="4">
        <v>32188.96</v>
      </c>
      <c r="N222" s="15">
        <v>2.11</v>
      </c>
      <c r="O222" s="14">
        <f>N222*C222*12</f>
        <v>14336.184000000001</v>
      </c>
      <c r="P222" s="4">
        <f>201520.57/178236.42*C222</f>
        <v>640.1662843878934</v>
      </c>
      <c r="Q222" s="4">
        <f t="shared" si="9"/>
        <v>238.25097025624729</v>
      </c>
      <c r="R222" s="4">
        <v>30323.15</v>
      </c>
    </row>
    <row r="223" spans="1:18" ht="12.75">
      <c r="A223" s="1"/>
      <c r="B223" s="5"/>
      <c r="C223" s="11"/>
      <c r="D223" s="4"/>
      <c r="E223" s="4"/>
      <c r="F223" s="7"/>
      <c r="G223" s="4"/>
      <c r="H223" s="4"/>
      <c r="I223" s="4"/>
      <c r="J223" s="4"/>
      <c r="K223" s="4"/>
      <c r="L223" s="4"/>
      <c r="M223" s="4"/>
      <c r="N223" s="15"/>
      <c r="O223" s="14"/>
      <c r="P223" s="4"/>
      <c r="Q223" s="4"/>
      <c r="R223" s="4"/>
    </row>
    <row r="224" spans="1:18" ht="12.75">
      <c r="A224" s="1" t="s">
        <v>34</v>
      </c>
      <c r="B224" s="5">
        <v>7</v>
      </c>
      <c r="C224" s="11">
        <v>854.4</v>
      </c>
      <c r="D224" s="4">
        <v>107654.64</v>
      </c>
      <c r="E224" s="4">
        <v>99933.08</v>
      </c>
      <c r="F224" s="7">
        <f>E224*100/D224</f>
        <v>92.82747125437417</v>
      </c>
      <c r="G224" s="4">
        <f>H224+O224+P224+Q224</f>
        <v>120146.90815324611</v>
      </c>
      <c r="H224" s="4">
        <f t="shared" si="8"/>
        <v>94727.29</v>
      </c>
      <c r="I224" s="4">
        <v>856.8</v>
      </c>
      <c r="J224" s="4">
        <v>435.52</v>
      </c>
      <c r="K224" s="4">
        <v>3042</v>
      </c>
      <c r="L224" s="4">
        <f>410.14+6766.8</f>
        <v>7176.9400000000005</v>
      </c>
      <c r="M224" s="4">
        <v>83216.03</v>
      </c>
      <c r="N224" s="15">
        <v>2.35</v>
      </c>
      <c r="O224" s="14">
        <f>N224*C224*12</f>
        <v>24094.079999999998</v>
      </c>
      <c r="P224" s="4">
        <f>201520.57/178236.42*C224</f>
        <v>966.0156718138751</v>
      </c>
      <c r="Q224" s="4">
        <f t="shared" si="9"/>
        <v>359.52248143224597</v>
      </c>
      <c r="R224" s="4">
        <v>48032.27</v>
      </c>
    </row>
    <row r="225" spans="1:18" ht="12.75">
      <c r="A225" s="1"/>
      <c r="B225" s="5"/>
      <c r="C225" s="11"/>
      <c r="D225" s="4"/>
      <c r="E225" s="4"/>
      <c r="F225" s="7"/>
      <c r="G225" s="4"/>
      <c r="H225" s="4"/>
      <c r="I225" s="4"/>
      <c r="J225" s="4"/>
      <c r="K225" s="4"/>
      <c r="L225" s="4"/>
      <c r="M225" s="4"/>
      <c r="N225" s="15"/>
      <c r="O225" s="14"/>
      <c r="P225" s="4"/>
      <c r="Q225" s="4"/>
      <c r="R225" s="4"/>
    </row>
    <row r="226" spans="1:18" ht="12.75">
      <c r="A226" s="1" t="s">
        <v>34</v>
      </c>
      <c r="B226" s="5">
        <v>9</v>
      </c>
      <c r="C226" s="11">
        <v>556</v>
      </c>
      <c r="D226" s="4">
        <v>70056</v>
      </c>
      <c r="E226" s="4">
        <v>63261.62</v>
      </c>
      <c r="F226" s="7">
        <f>E226*100/D226</f>
        <v>90.3015016558182</v>
      </c>
      <c r="G226" s="4">
        <f>H226+O226+P226+Q226</f>
        <v>58318.56271208432</v>
      </c>
      <c r="H226" s="4">
        <f t="shared" si="8"/>
        <v>41776.770000000004</v>
      </c>
      <c r="I226" s="4">
        <v>812</v>
      </c>
      <c r="J226" s="4">
        <v>277.37</v>
      </c>
      <c r="K226" s="4">
        <v>2340</v>
      </c>
      <c r="L226" s="4">
        <f>266.88+4403.52</f>
        <v>4670.400000000001</v>
      </c>
      <c r="M226" s="4">
        <v>33677</v>
      </c>
      <c r="N226" s="15">
        <v>2.35</v>
      </c>
      <c r="O226" s="14">
        <f>N226*C226*12</f>
        <v>15679.2</v>
      </c>
      <c r="P226" s="4">
        <f>201520.57/178236.42*C226</f>
        <v>628.6337939238232</v>
      </c>
      <c r="Q226" s="4">
        <f t="shared" si="9"/>
        <v>233.95891816049715</v>
      </c>
      <c r="R226" s="4">
        <v>39115.04</v>
      </c>
    </row>
    <row r="227" spans="1:18" ht="12.75">
      <c r="A227" s="1"/>
      <c r="B227" s="5"/>
      <c r="C227" s="11"/>
      <c r="D227" s="4"/>
      <c r="E227" s="4"/>
      <c r="F227" s="7"/>
      <c r="G227" s="4"/>
      <c r="H227" s="4"/>
      <c r="I227" s="4"/>
      <c r="J227" s="4"/>
      <c r="K227" s="4"/>
      <c r="L227" s="4"/>
      <c r="M227" s="4"/>
      <c r="N227" s="15"/>
      <c r="O227" s="14"/>
      <c r="P227" s="4"/>
      <c r="Q227" s="4"/>
      <c r="R227" s="4"/>
    </row>
    <row r="228" spans="1:18" ht="12.75">
      <c r="A228" s="1" t="s">
        <v>35</v>
      </c>
      <c r="B228" s="5" t="s">
        <v>22</v>
      </c>
      <c r="C228" s="11">
        <v>939.41</v>
      </c>
      <c r="D228" s="4">
        <v>116353.89</v>
      </c>
      <c r="E228" s="4">
        <v>110102.37</v>
      </c>
      <c r="F228" s="7">
        <f>E228*100/D228</f>
        <v>94.62714998183559</v>
      </c>
      <c r="G228" s="4">
        <f>H228+O228+P228+Q228</f>
        <v>127237.20685550204</v>
      </c>
      <c r="H228" s="4">
        <f t="shared" si="8"/>
        <v>99288.42</v>
      </c>
      <c r="I228" s="4">
        <v>928.2</v>
      </c>
      <c r="J228" s="4">
        <v>582.36</v>
      </c>
      <c r="K228" s="4"/>
      <c r="L228" s="4">
        <f>7354.32+450.24</f>
        <v>7804.5599999999995</v>
      </c>
      <c r="M228" s="4">
        <v>89973.3</v>
      </c>
      <c r="N228" s="15">
        <v>2.35</v>
      </c>
      <c r="O228" s="14">
        <f>N228*C228*12</f>
        <v>26491.362</v>
      </c>
      <c r="P228" s="4">
        <f>201520.57/178236.42*C228</f>
        <v>1062.1310653776595</v>
      </c>
      <c r="Q228" s="4">
        <f t="shared" si="9"/>
        <v>395.2937901243752</v>
      </c>
      <c r="R228" s="4">
        <v>22195.59</v>
      </c>
    </row>
    <row r="229" spans="1:18" ht="12.75">
      <c r="A229" s="1"/>
      <c r="B229" s="5"/>
      <c r="C229" s="11"/>
      <c r="D229" s="4"/>
      <c r="E229" s="4"/>
      <c r="F229" s="7"/>
      <c r="G229" s="4"/>
      <c r="H229" s="4"/>
      <c r="I229" s="4"/>
      <c r="J229" s="4"/>
      <c r="K229" s="4"/>
      <c r="L229" s="4"/>
      <c r="M229" s="4"/>
      <c r="N229" s="15"/>
      <c r="O229" s="14"/>
      <c r="P229" s="4"/>
      <c r="Q229" s="4"/>
      <c r="R229" s="4"/>
    </row>
    <row r="230" spans="1:18" ht="12.75">
      <c r="A230" s="1" t="s">
        <v>35</v>
      </c>
      <c r="B230" s="5" t="s">
        <v>23</v>
      </c>
      <c r="C230" s="11">
        <v>619.1</v>
      </c>
      <c r="D230" s="4">
        <v>78006.6</v>
      </c>
      <c r="E230" s="4">
        <v>70577.63</v>
      </c>
      <c r="F230" s="7">
        <f>E230*100/D230</f>
        <v>90.47648532303675</v>
      </c>
      <c r="G230" s="4">
        <f>H230+O230+P230+Q230</f>
        <v>56277.297676351445</v>
      </c>
      <c r="H230" s="4">
        <f t="shared" si="8"/>
        <v>37858.19</v>
      </c>
      <c r="I230" s="4">
        <v>639.8</v>
      </c>
      <c r="J230" s="4">
        <v>210.96</v>
      </c>
      <c r="K230" s="4"/>
      <c r="L230" s="4">
        <f>295.7+4879.56</f>
        <v>5175.26</v>
      </c>
      <c r="M230" s="4">
        <v>31832.17</v>
      </c>
      <c r="N230" s="15">
        <v>2.35</v>
      </c>
      <c r="O230" s="14">
        <f>N230*C230*12</f>
        <v>17458.620000000003</v>
      </c>
      <c r="P230" s="4">
        <f>201520.57/178236.42*C230</f>
        <v>699.9769457162571</v>
      </c>
      <c r="Q230" s="4">
        <f t="shared" si="9"/>
        <v>260.5107306351867</v>
      </c>
      <c r="R230" s="4">
        <v>58078.38</v>
      </c>
    </row>
    <row r="231" spans="1:18" ht="12.75">
      <c r="A231" s="1"/>
      <c r="B231" s="5"/>
      <c r="C231" s="11"/>
      <c r="D231" s="4"/>
      <c r="E231" s="4"/>
      <c r="F231" s="7"/>
      <c r="G231" s="4"/>
      <c r="H231" s="4"/>
      <c r="I231" s="4"/>
      <c r="J231" s="4"/>
      <c r="K231" s="4"/>
      <c r="L231" s="4"/>
      <c r="M231" s="4"/>
      <c r="N231" s="15"/>
      <c r="O231" s="14"/>
      <c r="P231" s="4"/>
      <c r="Q231" s="4"/>
      <c r="R231" s="4"/>
    </row>
    <row r="232" spans="1:18" ht="12.75">
      <c r="A232" s="1" t="s">
        <v>35</v>
      </c>
      <c r="B232" s="5" t="s">
        <v>54</v>
      </c>
      <c r="C232" s="11">
        <v>736.2</v>
      </c>
      <c r="D232" s="4">
        <v>90376.08</v>
      </c>
      <c r="E232" s="4">
        <v>84540.5</v>
      </c>
      <c r="F232" s="7">
        <f>E232*100/D232</f>
        <v>93.54300385677271</v>
      </c>
      <c r="G232" s="4">
        <f>H232+O232+P232+Q232</f>
        <v>88776.96963064115</v>
      </c>
      <c r="H232" s="4">
        <f t="shared" si="8"/>
        <v>66873.97</v>
      </c>
      <c r="I232" s="4">
        <v>637</v>
      </c>
      <c r="J232" s="4">
        <v>181.05</v>
      </c>
      <c r="K232" s="4"/>
      <c r="L232" s="4">
        <f>5759.4+353.39</f>
        <v>6112.79</v>
      </c>
      <c r="M232" s="4">
        <v>59943.13</v>
      </c>
      <c r="N232" s="15">
        <v>2.35</v>
      </c>
      <c r="O232" s="14">
        <f>N232*C232*12</f>
        <v>20760.840000000004</v>
      </c>
      <c r="P232" s="4">
        <f>201520.57/178236.42*C232</f>
        <v>832.3744587890624</v>
      </c>
      <c r="Q232" s="4">
        <f t="shared" si="9"/>
        <v>309.7851718520827</v>
      </c>
      <c r="R232" s="4">
        <v>29385.31</v>
      </c>
    </row>
    <row r="233" spans="1:18" ht="12.75">
      <c r="A233" s="1"/>
      <c r="B233" s="5"/>
      <c r="C233" s="11"/>
      <c r="D233" s="4"/>
      <c r="E233" s="4"/>
      <c r="F233" s="7"/>
      <c r="G233" s="4"/>
      <c r="H233" s="4"/>
      <c r="I233" s="4"/>
      <c r="J233" s="4"/>
      <c r="K233" s="4"/>
      <c r="L233" s="4"/>
      <c r="M233" s="4"/>
      <c r="N233" s="15"/>
      <c r="O233" s="14"/>
      <c r="P233" s="4"/>
      <c r="Q233" s="4"/>
      <c r="R233" s="4"/>
    </row>
    <row r="234" spans="1:18" ht="12.75">
      <c r="A234" s="1" t="s">
        <v>35</v>
      </c>
      <c r="B234" s="5" t="s">
        <v>24</v>
      </c>
      <c r="C234" s="11">
        <v>634.3</v>
      </c>
      <c r="D234" s="4">
        <v>78089.8</v>
      </c>
      <c r="E234" s="4">
        <v>73619.25</v>
      </c>
      <c r="F234" s="7">
        <f>E234*100/D234</f>
        <v>94.27511659653373</v>
      </c>
      <c r="G234" s="4">
        <f>H234+O234+P234+Q234</f>
        <v>94725.62934761705</v>
      </c>
      <c r="H234" s="4">
        <f t="shared" si="8"/>
        <v>75854.29999999999</v>
      </c>
      <c r="I234" s="4">
        <v>651</v>
      </c>
      <c r="J234" s="4">
        <v>357.52</v>
      </c>
      <c r="K234" s="4"/>
      <c r="L234" s="4">
        <f>5023.68+304.45</f>
        <v>5328.13</v>
      </c>
      <c r="M234" s="4">
        <v>69517.65</v>
      </c>
      <c r="N234" s="15">
        <v>2.35</v>
      </c>
      <c r="O234" s="14">
        <f>N234*C234*12</f>
        <v>17887.260000000002</v>
      </c>
      <c r="P234" s="4">
        <f>201520.57/178236.42*C234</f>
        <v>717.1626177803616</v>
      </c>
      <c r="Q234" s="4">
        <f t="shared" si="9"/>
        <v>266.9067298366967</v>
      </c>
      <c r="R234" s="4">
        <v>20581.24</v>
      </c>
    </row>
    <row r="235" spans="1:18" ht="12.75">
      <c r="A235" s="1"/>
      <c r="B235" s="5"/>
      <c r="C235" s="11"/>
      <c r="D235" s="4"/>
      <c r="E235" s="4"/>
      <c r="F235" s="7"/>
      <c r="G235" s="4"/>
      <c r="H235" s="4"/>
      <c r="I235" s="4"/>
      <c r="J235" s="4"/>
      <c r="K235" s="4"/>
      <c r="L235" s="4"/>
      <c r="M235" s="4"/>
      <c r="N235" s="15"/>
      <c r="O235" s="14"/>
      <c r="P235" s="4"/>
      <c r="Q235" s="4"/>
      <c r="R235" s="4"/>
    </row>
    <row r="236" spans="1:18" ht="12.75">
      <c r="A236" s="1" t="s">
        <v>34</v>
      </c>
      <c r="B236" s="5">
        <v>2</v>
      </c>
      <c r="C236" s="11">
        <v>62.9</v>
      </c>
      <c r="D236" s="4">
        <v>0</v>
      </c>
      <c r="E236" s="4">
        <v>0</v>
      </c>
      <c r="F236" s="7">
        <v>0</v>
      </c>
      <c r="G236" s="4">
        <f>H236+O236+P236+Q236</f>
        <v>1682.6446791188914</v>
      </c>
      <c r="H236" s="4">
        <f t="shared" si="8"/>
        <v>528.34</v>
      </c>
      <c r="I236" s="4"/>
      <c r="J236" s="4"/>
      <c r="K236" s="4"/>
      <c r="L236" s="4">
        <f>30.22+498.12</f>
        <v>528.34</v>
      </c>
      <c r="M236" s="4"/>
      <c r="N236" s="15">
        <v>1.4</v>
      </c>
      <c r="O236" s="14">
        <f>N236*C236*12</f>
        <v>1056.7199999999998</v>
      </c>
      <c r="P236" s="4">
        <f>201520.57/178236.42*C236</f>
        <v>71.11702452843252</v>
      </c>
      <c r="Q236" s="4">
        <f t="shared" si="9"/>
        <v>26.46765459045912</v>
      </c>
      <c r="R236" s="4">
        <v>172051.35</v>
      </c>
    </row>
    <row r="237" spans="1:18" ht="12.75">
      <c r="A237" s="1"/>
      <c r="B237" s="5"/>
      <c r="C237" s="11"/>
      <c r="D237" s="4"/>
      <c r="E237" s="4"/>
      <c r="F237" s="7"/>
      <c r="G237" s="4"/>
      <c r="H237" s="4"/>
      <c r="I237" s="4"/>
      <c r="J237" s="4"/>
      <c r="K237" s="4"/>
      <c r="L237" s="4"/>
      <c r="M237" s="4"/>
      <c r="N237" s="15"/>
      <c r="O237" s="14"/>
      <c r="P237" s="4"/>
      <c r="Q237" s="4"/>
      <c r="R237" s="4"/>
    </row>
    <row r="238" spans="1:18" ht="12.75">
      <c r="A238" s="1" t="s">
        <v>34</v>
      </c>
      <c r="B238" s="5" t="s">
        <v>25</v>
      </c>
      <c r="C238" s="11">
        <v>62.4</v>
      </c>
      <c r="D238" s="4">
        <v>0</v>
      </c>
      <c r="E238" s="4">
        <v>0</v>
      </c>
      <c r="F238" s="7">
        <v>0</v>
      </c>
      <c r="G238" s="4">
        <f>H238+O238+P238+Q238</f>
        <v>1175.108966248312</v>
      </c>
      <c r="H238" s="4">
        <f t="shared" si="8"/>
        <v>29.98</v>
      </c>
      <c r="I238" s="4"/>
      <c r="J238" s="4"/>
      <c r="K238" s="4"/>
      <c r="L238" s="4">
        <v>29.98</v>
      </c>
      <c r="M238" s="4"/>
      <c r="N238" s="15">
        <v>1.4</v>
      </c>
      <c r="O238" s="14">
        <f>N238*C238*12</f>
        <v>1048.32</v>
      </c>
      <c r="P238" s="4">
        <f>201520.57/178236.42*C238</f>
        <v>70.55170636842908</v>
      </c>
      <c r="Q238" s="4">
        <f t="shared" si="9"/>
        <v>26.257259879883133</v>
      </c>
      <c r="R238" s="4">
        <v>93125.56</v>
      </c>
    </row>
    <row r="239" spans="1:18" ht="12.75">
      <c r="A239" s="1"/>
      <c r="B239" s="5"/>
      <c r="C239" s="11"/>
      <c r="D239" s="4"/>
      <c r="E239" s="4"/>
      <c r="F239" s="7"/>
      <c r="G239" s="4"/>
      <c r="H239" s="4"/>
      <c r="I239" s="4"/>
      <c r="J239" s="4"/>
      <c r="K239" s="4"/>
      <c r="L239" s="4"/>
      <c r="M239" s="4"/>
      <c r="N239" s="15"/>
      <c r="O239" s="14"/>
      <c r="P239" s="4"/>
      <c r="Q239" s="4"/>
      <c r="R239" s="4"/>
    </row>
    <row r="240" spans="1:18" ht="12.75">
      <c r="A240" s="1" t="s">
        <v>36</v>
      </c>
      <c r="B240" s="5" t="s">
        <v>37</v>
      </c>
      <c r="C240" s="11">
        <f>395.1+302.6</f>
        <v>697.7</v>
      </c>
      <c r="D240" s="4">
        <f>20205+15617.35</f>
        <v>35822.35</v>
      </c>
      <c r="E240" s="4">
        <f>12886.15+10661.87</f>
        <v>23548.02</v>
      </c>
      <c r="F240" s="7">
        <f>E240*100/D240</f>
        <v>65.73555336263534</v>
      </c>
      <c r="G240" s="4">
        <f>H240+O240+P240+Q240</f>
        <v>34924.49973960653</v>
      </c>
      <c r="H240" s="4">
        <f t="shared" si="8"/>
        <v>22120.71</v>
      </c>
      <c r="I240" s="4"/>
      <c r="J240" s="4"/>
      <c r="K240" s="4"/>
      <c r="L240" s="4">
        <f>334.91+5654.16</f>
        <v>5989.07</v>
      </c>
      <c r="M240" s="4">
        <v>16131.64</v>
      </c>
      <c r="N240" s="15">
        <v>1.4</v>
      </c>
      <c r="O240" s="14">
        <f>N240*C240*12</f>
        <v>11721.36</v>
      </c>
      <c r="P240" s="4">
        <f>201520.57/178236.42*C240</f>
        <v>788.8449604687977</v>
      </c>
      <c r="Q240" s="4">
        <f t="shared" si="9"/>
        <v>293.58477913773174</v>
      </c>
      <c r="R240" s="4">
        <f>255892.81+105277.25</f>
        <v>361170.06</v>
      </c>
    </row>
    <row r="241" spans="1:18" ht="12.75">
      <c r="A241" s="1"/>
      <c r="B241" s="5"/>
      <c r="C241" s="11"/>
      <c r="D241" s="4"/>
      <c r="E241" s="4"/>
      <c r="F241" s="7"/>
      <c r="G241" s="4"/>
      <c r="H241" s="4"/>
      <c r="I241" s="4"/>
      <c r="J241" s="4"/>
      <c r="K241" s="4"/>
      <c r="L241" s="4"/>
      <c r="M241" s="4"/>
      <c r="N241" s="15"/>
      <c r="O241" s="14"/>
      <c r="P241" s="4"/>
      <c r="Q241" s="4"/>
      <c r="R241" s="4"/>
    </row>
    <row r="242" spans="1:18" ht="12.75">
      <c r="A242" s="1" t="s">
        <v>36</v>
      </c>
      <c r="B242" s="5">
        <v>8</v>
      </c>
      <c r="C242" s="11">
        <v>100.5</v>
      </c>
      <c r="D242" s="4">
        <v>2809.92</v>
      </c>
      <c r="E242" s="4">
        <v>2472.31</v>
      </c>
      <c r="F242" s="7">
        <f>E242*100/D242</f>
        <v>87.985067190525</v>
      </c>
      <c r="G242" s="4">
        <f>H242+O242+P242+Q242</f>
        <v>2730.868286986464</v>
      </c>
      <c r="H242" s="4">
        <f t="shared" si="8"/>
        <v>1115.69</v>
      </c>
      <c r="I242" s="4"/>
      <c r="J242" s="4">
        <v>50.45</v>
      </c>
      <c r="K242" s="4"/>
      <c r="L242" s="4">
        <f>48.24</f>
        <v>48.24</v>
      </c>
      <c r="M242" s="4">
        <v>1017</v>
      </c>
      <c r="N242" s="15">
        <v>1.21</v>
      </c>
      <c r="O242" s="14">
        <f>N242*C242*12</f>
        <v>1459.2599999999998</v>
      </c>
      <c r="P242" s="4">
        <f>201520.57/178236.42*C242</f>
        <v>113.62895016069106</v>
      </c>
      <c r="Q242" s="4">
        <f t="shared" si="9"/>
        <v>42.28933682577332</v>
      </c>
      <c r="R242" s="4">
        <v>508.84</v>
      </c>
    </row>
    <row r="243" spans="1:18" ht="12.75">
      <c r="A243" s="1"/>
      <c r="B243" s="5"/>
      <c r="C243" s="11"/>
      <c r="D243" s="4"/>
      <c r="E243" s="4"/>
      <c r="F243" s="7"/>
      <c r="G243" s="4"/>
      <c r="H243" s="4"/>
      <c r="I243" s="4"/>
      <c r="J243" s="4"/>
      <c r="K243" s="4"/>
      <c r="L243" s="4"/>
      <c r="M243" s="4"/>
      <c r="N243" s="15"/>
      <c r="O243" s="14"/>
      <c r="P243" s="4"/>
      <c r="Q243" s="4"/>
      <c r="R243" s="4"/>
    </row>
    <row r="244" spans="1:18" ht="12.75">
      <c r="A244" s="1" t="s">
        <v>32</v>
      </c>
      <c r="B244" s="5">
        <v>21</v>
      </c>
      <c r="C244" s="11">
        <v>169.6</v>
      </c>
      <c r="D244" s="4">
        <v>4742.04</v>
      </c>
      <c r="E244" s="4">
        <v>2249.31</v>
      </c>
      <c r="F244" s="7">
        <f>E244*100/D244</f>
        <v>47.4333831009439</v>
      </c>
      <c r="G244" s="4">
        <f>H244+O244+P244+Q244</f>
        <v>4230.66380570054</v>
      </c>
      <c r="H244" s="4">
        <f t="shared" si="8"/>
        <v>1504.9499999999998</v>
      </c>
      <c r="I244" s="4"/>
      <c r="J244" s="4">
        <v>80.29</v>
      </c>
      <c r="K244" s="4"/>
      <c r="L244" s="4">
        <f>81.38+1343.28</f>
        <v>1424.6599999999999</v>
      </c>
      <c r="M244" s="4"/>
      <c r="N244" s="15">
        <v>1.21</v>
      </c>
      <c r="O244" s="14">
        <f>N244*C244*12</f>
        <v>2462.5919999999996</v>
      </c>
      <c r="P244" s="4">
        <f>201520.57/178236.42*C244</f>
        <v>191.75591987316622</v>
      </c>
      <c r="Q244" s="4">
        <f t="shared" si="9"/>
        <v>71.36588582737467</v>
      </c>
      <c r="R244" s="4">
        <v>4107.81</v>
      </c>
    </row>
    <row r="245" spans="1:18" ht="12.75">
      <c r="A245" s="1"/>
      <c r="B245" s="5"/>
      <c r="C245" s="11"/>
      <c r="D245" s="4"/>
      <c r="E245" s="4"/>
      <c r="F245" s="7"/>
      <c r="G245" s="4"/>
      <c r="H245" s="4"/>
      <c r="I245" s="4"/>
      <c r="J245" s="4"/>
      <c r="K245" s="4"/>
      <c r="L245" s="4"/>
      <c r="M245" s="4"/>
      <c r="N245" s="15"/>
      <c r="O245" s="14"/>
      <c r="P245" s="4"/>
      <c r="Q245" s="4"/>
      <c r="R245" s="4"/>
    </row>
    <row r="246" spans="1:18" ht="12.75">
      <c r="A246" s="1" t="s">
        <v>32</v>
      </c>
      <c r="B246" s="5">
        <v>28</v>
      </c>
      <c r="C246" s="11">
        <v>112.9</v>
      </c>
      <c r="D246" s="4">
        <v>2890.24</v>
      </c>
      <c r="E246" s="4">
        <v>1346.36</v>
      </c>
      <c r="F246" s="7">
        <f>E246*100/D246</f>
        <v>46.58298272807795</v>
      </c>
      <c r="G246" s="4">
        <f>H246+O246+P246+Q246</f>
        <v>2815.7839661768344</v>
      </c>
      <c r="H246" s="4">
        <f t="shared" si="8"/>
        <v>1001.32</v>
      </c>
      <c r="I246" s="4"/>
      <c r="J246" s="4">
        <v>50.45</v>
      </c>
      <c r="K246" s="4"/>
      <c r="L246" s="4">
        <f>54.35+896.52</f>
        <v>950.87</v>
      </c>
      <c r="M246" s="4"/>
      <c r="N246" s="15">
        <v>1.21</v>
      </c>
      <c r="O246" s="14">
        <f>N246*C246*12</f>
        <v>1639.308</v>
      </c>
      <c r="P246" s="4">
        <f>201520.57/178236.42*C246</f>
        <v>127.64884052877635</v>
      </c>
      <c r="Q246" s="4">
        <f t="shared" si="9"/>
        <v>47.50712564805779</v>
      </c>
      <c r="R246" s="4">
        <v>2731.24</v>
      </c>
    </row>
    <row r="247" spans="1:18" ht="12.75">
      <c r="A247" s="1"/>
      <c r="B247" s="5"/>
      <c r="C247" s="11"/>
      <c r="D247" s="4"/>
      <c r="E247" s="4"/>
      <c r="F247" s="7"/>
      <c r="G247" s="4"/>
      <c r="H247" s="4"/>
      <c r="I247" s="4"/>
      <c r="J247" s="4"/>
      <c r="K247" s="4"/>
      <c r="L247" s="4"/>
      <c r="M247" s="4"/>
      <c r="N247" s="15"/>
      <c r="O247" s="14"/>
      <c r="P247" s="4"/>
      <c r="Q247" s="4"/>
      <c r="R247" s="4"/>
    </row>
    <row r="248" spans="1:18" ht="12.75">
      <c r="A248" s="1" t="s">
        <v>32</v>
      </c>
      <c r="B248" s="5">
        <v>32</v>
      </c>
      <c r="C248" s="11">
        <v>61.46</v>
      </c>
      <c r="D248" s="4">
        <v>1641.6</v>
      </c>
      <c r="E248" s="4">
        <v>898.35</v>
      </c>
      <c r="F248" s="7">
        <f>E248*100/D248</f>
        <v>54.72404970760234</v>
      </c>
      <c r="G248" s="4">
        <f>H248+O248+P248+Q248</f>
        <v>1545.269826051623</v>
      </c>
      <c r="H248" s="4">
        <f t="shared" si="8"/>
        <v>557.52</v>
      </c>
      <c r="I248" s="4"/>
      <c r="J248" s="4">
        <v>41.29</v>
      </c>
      <c r="K248" s="4"/>
      <c r="L248" s="4">
        <f>486.72+29.51</f>
        <v>516.23</v>
      </c>
      <c r="M248" s="4"/>
      <c r="N248" s="15">
        <v>1.21</v>
      </c>
      <c r="O248" s="14">
        <f>N248*C248*12</f>
        <v>892.3992000000001</v>
      </c>
      <c r="P248" s="4">
        <f>201520.57/178236.42*C248</f>
        <v>69.48890822762262</v>
      </c>
      <c r="Q248" s="4">
        <f t="shared" si="9"/>
        <v>25.861717824000277</v>
      </c>
      <c r="R248" s="4">
        <v>9359.86</v>
      </c>
    </row>
    <row r="249" spans="1:18" ht="12.75">
      <c r="A249" s="1"/>
      <c r="B249" s="5"/>
      <c r="C249" s="11"/>
      <c r="D249" s="4"/>
      <c r="E249" s="4"/>
      <c r="F249" s="7"/>
      <c r="G249" s="4"/>
      <c r="H249" s="4"/>
      <c r="I249" s="4"/>
      <c r="J249" s="4"/>
      <c r="K249" s="4"/>
      <c r="L249" s="4"/>
      <c r="M249" s="4"/>
      <c r="N249" s="15"/>
      <c r="O249" s="14"/>
      <c r="P249" s="4"/>
      <c r="Q249" s="4"/>
      <c r="R249" s="4"/>
    </row>
    <row r="250" spans="1:18" ht="12.75">
      <c r="A250" s="1" t="s">
        <v>32</v>
      </c>
      <c r="B250" s="5">
        <v>41</v>
      </c>
      <c r="C250" s="11">
        <v>1239.1</v>
      </c>
      <c r="D250" s="4">
        <v>156126.6</v>
      </c>
      <c r="E250" s="4">
        <v>138609.24</v>
      </c>
      <c r="F250" s="7">
        <f>E250*100/D250</f>
        <v>88.78002851532025</v>
      </c>
      <c r="G250" s="4">
        <f>H250+O250+P250+Q250</f>
        <v>102195.65163586993</v>
      </c>
      <c r="H250" s="4">
        <f t="shared" si="8"/>
        <v>65330.66</v>
      </c>
      <c r="I250" s="4">
        <v>1236.2</v>
      </c>
      <c r="J250" s="4">
        <v>724.2</v>
      </c>
      <c r="K250" s="4">
        <v>2808</v>
      </c>
      <c r="L250" s="4">
        <f>594.74+9813.72</f>
        <v>10408.46</v>
      </c>
      <c r="M250" s="4">
        <v>50153.8</v>
      </c>
      <c r="N250" s="15">
        <v>2.35</v>
      </c>
      <c r="O250" s="14">
        <f>N250*C250*12</f>
        <v>34942.619999999995</v>
      </c>
      <c r="P250" s="4">
        <f>201520.57/178236.42*C250</f>
        <v>1400.9714641205203</v>
      </c>
      <c r="Q250" s="4">
        <f t="shared" si="9"/>
        <v>521.4001717494101</v>
      </c>
      <c r="R250" s="4">
        <v>84911.79</v>
      </c>
    </row>
    <row r="251" spans="1:18" ht="12.75">
      <c r="A251" s="1"/>
      <c r="B251" s="5"/>
      <c r="C251" s="11"/>
      <c r="D251" s="4"/>
      <c r="E251" s="4"/>
      <c r="F251" s="7"/>
      <c r="G251" s="4"/>
      <c r="H251" s="4"/>
      <c r="I251" s="4"/>
      <c r="J251" s="4"/>
      <c r="K251" s="4"/>
      <c r="L251" s="4"/>
      <c r="M251" s="4"/>
      <c r="N251" s="15"/>
      <c r="O251" s="14"/>
      <c r="P251" s="4"/>
      <c r="Q251" s="4"/>
      <c r="R251" s="4"/>
    </row>
    <row r="252" spans="1:18" ht="12.75">
      <c r="A252" s="1" t="s">
        <v>38</v>
      </c>
      <c r="B252" s="5">
        <v>16</v>
      </c>
      <c r="C252" s="11">
        <v>217.3</v>
      </c>
      <c r="D252" s="4">
        <v>14576.4</v>
      </c>
      <c r="E252" s="4">
        <v>12319.7</v>
      </c>
      <c r="F252" s="7">
        <f>E252*100/D252</f>
        <v>84.51812518866113</v>
      </c>
      <c r="G252" s="4">
        <f>H252+O252+P252+Q252</f>
        <v>6981.560813553818</v>
      </c>
      <c r="H252" s="4">
        <f t="shared" si="8"/>
        <v>3489.24</v>
      </c>
      <c r="I252" s="4"/>
      <c r="J252" s="4">
        <v>165.02</v>
      </c>
      <c r="K252" s="4"/>
      <c r="L252" s="4">
        <f>1721.04+146.14</f>
        <v>1867.1799999999998</v>
      </c>
      <c r="M252" s="4">
        <v>1457.04</v>
      </c>
      <c r="N252" s="15">
        <v>1.21</v>
      </c>
      <c r="O252" s="14">
        <f>N252*C252*12</f>
        <v>3155.196</v>
      </c>
      <c r="P252" s="4">
        <f>201520.57/178236.42*C252</f>
        <v>245.68727233749422</v>
      </c>
      <c r="Q252" s="4">
        <f t="shared" si="9"/>
        <v>91.4375412163238</v>
      </c>
      <c r="R252" s="4">
        <v>3272.41</v>
      </c>
    </row>
    <row r="253" spans="1:18" ht="12.75">
      <c r="A253" s="1"/>
      <c r="B253" s="5"/>
      <c r="C253" s="11"/>
      <c r="D253" s="4"/>
      <c r="E253" s="4"/>
      <c r="F253" s="7"/>
      <c r="G253" s="4"/>
      <c r="H253" s="4"/>
      <c r="I253" s="4"/>
      <c r="J253" s="4"/>
      <c r="K253" s="4"/>
      <c r="L253" s="4"/>
      <c r="M253" s="4"/>
      <c r="N253" s="15"/>
      <c r="O253" s="14"/>
      <c r="P253" s="4"/>
      <c r="Q253" s="4"/>
      <c r="R253" s="4"/>
    </row>
    <row r="254" spans="1:18" ht="12.75">
      <c r="A254" s="1" t="s">
        <v>38</v>
      </c>
      <c r="B254" s="5">
        <v>18</v>
      </c>
      <c r="C254" s="11">
        <v>174.3</v>
      </c>
      <c r="D254" s="4">
        <v>11692.2</v>
      </c>
      <c r="E254" s="4">
        <v>9226.03</v>
      </c>
      <c r="F254" s="7">
        <f>E254*100/D254</f>
        <v>78.90756230649494</v>
      </c>
      <c r="G254" s="4">
        <f>H254+O254+P254+Q254</f>
        <v>18329.28950668399</v>
      </c>
      <c r="H254" s="4">
        <f t="shared" si="8"/>
        <v>15528.04</v>
      </c>
      <c r="I254" s="4"/>
      <c r="J254" s="4">
        <v>162.73</v>
      </c>
      <c r="K254" s="4"/>
      <c r="L254" s="4">
        <f>1380.48+41.83</f>
        <v>1422.31</v>
      </c>
      <c r="M254" s="4">
        <v>13943</v>
      </c>
      <c r="N254" s="15">
        <v>1.21</v>
      </c>
      <c r="O254" s="14">
        <f>N254*C254*12</f>
        <v>2530.8360000000002</v>
      </c>
      <c r="P254" s="4">
        <f>201520.57/178236.42*C254</f>
        <v>197.06991057719856</v>
      </c>
      <c r="Q254" s="4">
        <f t="shared" si="9"/>
        <v>73.34359610678895</v>
      </c>
      <c r="R254" s="4">
        <v>-6502.38</v>
      </c>
    </row>
    <row r="255" spans="1:18" ht="12.75">
      <c r="A255" s="1"/>
      <c r="B255" s="5"/>
      <c r="C255" s="11"/>
      <c r="D255" s="4"/>
      <c r="E255" s="4"/>
      <c r="F255" s="7"/>
      <c r="G255" s="4"/>
      <c r="H255" s="4"/>
      <c r="I255" s="4"/>
      <c r="J255" s="4"/>
      <c r="K255" s="4"/>
      <c r="L255" s="4"/>
      <c r="M255" s="4"/>
      <c r="N255" s="15"/>
      <c r="O255" s="14"/>
      <c r="P255" s="4"/>
      <c r="Q255" s="4"/>
      <c r="R255" s="4"/>
    </row>
    <row r="256" spans="1:18" ht="12.75">
      <c r="A256" s="1" t="s">
        <v>39</v>
      </c>
      <c r="B256" s="5">
        <v>2</v>
      </c>
      <c r="C256" s="11">
        <v>152.5</v>
      </c>
      <c r="D256" s="4">
        <v>10229.64</v>
      </c>
      <c r="E256" s="4">
        <v>9377.64</v>
      </c>
      <c r="F256" s="7">
        <f>E256*100/D256</f>
        <v>91.67126115875045</v>
      </c>
      <c r="G256" s="4">
        <f>H256+O256+P256+Q256</f>
        <v>4762.792425526725</v>
      </c>
      <c r="H256" s="4">
        <f t="shared" si="8"/>
        <v>2311.9</v>
      </c>
      <c r="I256" s="4"/>
      <c r="J256" s="4">
        <v>100.9</v>
      </c>
      <c r="K256" s="4"/>
      <c r="L256" s="4">
        <f>73.2+1207.8</f>
        <v>1281</v>
      </c>
      <c r="M256" s="4">
        <v>930</v>
      </c>
      <c r="N256" s="15">
        <v>1.21</v>
      </c>
      <c r="O256" s="14">
        <f>N256*C256*12</f>
        <v>2214.3</v>
      </c>
      <c r="P256" s="4">
        <f>201520.57/178236.42*C256</f>
        <v>172.42203880104864</v>
      </c>
      <c r="Q256" s="4">
        <f t="shared" si="9"/>
        <v>64.17038672567593</v>
      </c>
      <c r="R256" s="4">
        <v>1576.28</v>
      </c>
    </row>
    <row r="257" spans="1:18" ht="12.75">
      <c r="A257" s="1"/>
      <c r="B257" s="5"/>
      <c r="C257" s="11"/>
      <c r="D257" s="4"/>
      <c r="E257" s="4"/>
      <c r="F257" s="7"/>
      <c r="G257" s="4"/>
      <c r="H257" s="4"/>
      <c r="I257" s="4"/>
      <c r="J257" s="4"/>
      <c r="K257" s="4"/>
      <c r="L257" s="4"/>
      <c r="M257" s="4"/>
      <c r="N257" s="15"/>
      <c r="O257" s="14"/>
      <c r="P257" s="4"/>
      <c r="Q257" s="4"/>
      <c r="R257" s="4"/>
    </row>
    <row r="258" spans="1:18" ht="12.75">
      <c r="A258" s="1" t="s">
        <v>31</v>
      </c>
      <c r="B258" s="5">
        <v>2</v>
      </c>
      <c r="C258" s="11">
        <v>914.2</v>
      </c>
      <c r="D258" s="4">
        <v>115189.32</v>
      </c>
      <c r="E258" s="4">
        <v>100645.76</v>
      </c>
      <c r="F258" s="7">
        <f>E258*100/D258</f>
        <v>87.37421142862897</v>
      </c>
      <c r="G258" s="4">
        <f>H258+O258+P258+Q258</f>
        <v>99532.17341256741</v>
      </c>
      <c r="H258" s="4">
        <f t="shared" si="8"/>
        <v>72333.42</v>
      </c>
      <c r="I258" s="4">
        <v>1008</v>
      </c>
      <c r="J258" s="4">
        <v>722.26</v>
      </c>
      <c r="K258" s="4"/>
      <c r="L258" s="4">
        <f>438.83+7240.44+6113.2</f>
        <v>13792.47</v>
      </c>
      <c r="M258" s="4">
        <v>56810.69</v>
      </c>
      <c r="N258" s="15">
        <v>2.35</v>
      </c>
      <c r="O258" s="14">
        <f>N258*C258*12</f>
        <v>25780.440000000002</v>
      </c>
      <c r="P258" s="4">
        <f>201520.57/178236.42*C258</f>
        <v>1033.6277237502863</v>
      </c>
      <c r="Q258" s="4">
        <f t="shared" si="9"/>
        <v>384.68568881713395</v>
      </c>
      <c r="R258" s="4">
        <v>78065.99</v>
      </c>
    </row>
    <row r="259" spans="1:18" ht="12.75">
      <c r="A259" s="1"/>
      <c r="B259" s="5"/>
      <c r="C259" s="11"/>
      <c r="D259" s="4"/>
      <c r="E259" s="4"/>
      <c r="F259" s="7"/>
      <c r="G259" s="4"/>
      <c r="H259" s="4"/>
      <c r="I259" s="4"/>
      <c r="J259" s="4"/>
      <c r="K259" s="4"/>
      <c r="L259" s="4"/>
      <c r="M259" s="4"/>
      <c r="N259" s="15"/>
      <c r="O259" s="14"/>
      <c r="P259" s="4"/>
      <c r="Q259" s="4"/>
      <c r="R259" s="4"/>
    </row>
    <row r="260" spans="1:18" ht="12.75">
      <c r="A260" s="1" t="s">
        <v>31</v>
      </c>
      <c r="B260" s="5">
        <v>13</v>
      </c>
      <c r="C260" s="11">
        <v>107.6</v>
      </c>
      <c r="D260" s="4">
        <v>9293.02</v>
      </c>
      <c r="E260" s="4">
        <v>8198.06</v>
      </c>
      <c r="F260" s="7">
        <f>E260*100/D260</f>
        <v>88.217393269357</v>
      </c>
      <c r="G260" s="4">
        <f>H260+O260+P260+Q260</f>
        <v>2952.113409748692</v>
      </c>
      <c r="H260" s="4">
        <f t="shared" si="8"/>
        <v>977.5</v>
      </c>
      <c r="I260" s="4"/>
      <c r="J260" s="4">
        <v>61.9</v>
      </c>
      <c r="K260" s="4"/>
      <c r="L260" s="4">
        <f>863.28+52.32</f>
        <v>915.6</v>
      </c>
      <c r="M260" s="4"/>
      <c r="N260" s="15">
        <v>1.4</v>
      </c>
      <c r="O260" s="14">
        <f>N260*C260*12</f>
        <v>1807.6799999999998</v>
      </c>
      <c r="P260" s="4">
        <f>201520.57/178236.42*C260</f>
        <v>121.65646803273988</v>
      </c>
      <c r="Q260" s="4">
        <f t="shared" si="9"/>
        <v>45.276941715952326</v>
      </c>
      <c r="R260" s="4">
        <v>1475.96</v>
      </c>
    </row>
    <row r="261" spans="1:18" ht="12.75">
      <c r="A261" s="1"/>
      <c r="B261" s="5"/>
      <c r="C261" s="11"/>
      <c r="D261" s="4"/>
      <c r="E261" s="4"/>
      <c r="F261" s="7"/>
      <c r="G261" s="4"/>
      <c r="H261" s="4"/>
      <c r="I261" s="4"/>
      <c r="J261" s="4"/>
      <c r="K261" s="4"/>
      <c r="L261" s="4"/>
      <c r="M261" s="4"/>
      <c r="N261" s="15"/>
      <c r="O261" s="14"/>
      <c r="P261" s="4"/>
      <c r="Q261" s="4"/>
      <c r="R261" s="4"/>
    </row>
    <row r="262" spans="1:18" ht="12.75">
      <c r="A262" s="1" t="s">
        <v>27</v>
      </c>
      <c r="B262" s="5">
        <v>11</v>
      </c>
      <c r="C262" s="11">
        <v>272.3</v>
      </c>
      <c r="D262" s="4">
        <v>19572.96</v>
      </c>
      <c r="E262" s="4">
        <v>17969.92</v>
      </c>
      <c r="F262" s="7">
        <f>E262*100/D262</f>
        <v>91.80992552991474</v>
      </c>
      <c r="G262" s="4">
        <f>H262+O262+P262+Q262</f>
        <v>13913.043229317555</v>
      </c>
      <c r="H262" s="4">
        <f t="shared" si="8"/>
        <v>5811.73</v>
      </c>
      <c r="I262" s="4"/>
      <c r="J262" s="4">
        <v>199.44</v>
      </c>
      <c r="K262" s="4"/>
      <c r="L262" s="4">
        <f>130.69+2156.64</f>
        <v>2287.33</v>
      </c>
      <c r="M262" s="4">
        <v>3324.96</v>
      </c>
      <c r="N262" s="15">
        <v>2.35</v>
      </c>
      <c r="O262" s="14">
        <f>N262*C262*12</f>
        <v>7678.860000000001</v>
      </c>
      <c r="P262" s="4">
        <f>201520.57/178236.42*C262</f>
        <v>307.87226993787243</v>
      </c>
      <c r="Q262" s="4">
        <f t="shared" si="9"/>
        <v>114.58095937968233</v>
      </c>
      <c r="R262" s="4">
        <v>2084.28</v>
      </c>
    </row>
    <row r="263" spans="1:18" ht="12.75">
      <c r="A263" s="1"/>
      <c r="B263" s="5"/>
      <c r="C263" s="11"/>
      <c r="D263" s="4"/>
      <c r="E263" s="4"/>
      <c r="F263" s="7"/>
      <c r="G263" s="4"/>
      <c r="H263" s="4"/>
      <c r="I263" s="4"/>
      <c r="J263" s="4"/>
      <c r="K263" s="4"/>
      <c r="L263" s="4"/>
      <c r="M263" s="4"/>
      <c r="N263" s="15"/>
      <c r="O263" s="14"/>
      <c r="P263" s="4"/>
      <c r="Q263" s="4"/>
      <c r="R263" s="4"/>
    </row>
    <row r="264" spans="1:18" ht="12.75">
      <c r="A264" s="1" t="s">
        <v>27</v>
      </c>
      <c r="B264" s="5">
        <v>3</v>
      </c>
      <c r="C264" s="11">
        <v>273.4</v>
      </c>
      <c r="D264" s="4">
        <v>27886.92</v>
      </c>
      <c r="E264" s="4">
        <v>25563.01</v>
      </c>
      <c r="F264" s="7">
        <f>E264*100/D264</f>
        <v>91.66666666666667</v>
      </c>
      <c r="G264" s="4">
        <f>H264+O264+P264+Q264</f>
        <v>18699.30979763283</v>
      </c>
      <c r="H264" s="4">
        <f t="shared" si="8"/>
        <v>10565.27</v>
      </c>
      <c r="I264" s="4"/>
      <c r="J264" s="4">
        <v>139.9</v>
      </c>
      <c r="K264" s="4"/>
      <c r="L264" s="4">
        <f>131.26+2165.28</f>
        <v>2296.54</v>
      </c>
      <c r="M264" s="4">
        <v>8128.83</v>
      </c>
      <c r="N264" s="15">
        <v>2.35</v>
      </c>
      <c r="O264" s="14">
        <f>N264*C264*12</f>
        <v>7709.88</v>
      </c>
      <c r="P264" s="4">
        <f>201520.57/178236.42*C264</f>
        <v>309.11596988988</v>
      </c>
      <c r="Q264" s="4">
        <f t="shared" si="9"/>
        <v>115.0438277429495</v>
      </c>
      <c r="R264" s="4">
        <v>15618.01</v>
      </c>
    </row>
    <row r="265" spans="1:18" ht="12.75">
      <c r="A265" s="1"/>
      <c r="B265" s="5"/>
      <c r="C265" s="11"/>
      <c r="D265" s="4"/>
      <c r="E265" s="4"/>
      <c r="F265" s="7"/>
      <c r="G265" s="4"/>
      <c r="H265" s="4"/>
      <c r="I265" s="4"/>
      <c r="J265" s="4"/>
      <c r="K265" s="4"/>
      <c r="L265" s="4"/>
      <c r="M265" s="4"/>
      <c r="N265" s="15"/>
      <c r="O265" s="14"/>
      <c r="P265" s="4"/>
      <c r="Q265" s="4"/>
      <c r="R265" s="4"/>
    </row>
    <row r="266" spans="1:18" ht="12.75">
      <c r="A266" s="1" t="s">
        <v>27</v>
      </c>
      <c r="B266" s="5" t="s">
        <v>26</v>
      </c>
      <c r="C266" s="11">
        <v>389.2</v>
      </c>
      <c r="D266" s="4">
        <v>10032.52</v>
      </c>
      <c r="E266" s="4">
        <v>7443.04</v>
      </c>
      <c r="F266" s="7">
        <f>E266*100/D266</f>
        <v>74.18913692671433</v>
      </c>
      <c r="G266" s="4">
        <f>H266+O266+P266+Q266</f>
        <v>38289.72489845902</v>
      </c>
      <c r="H266" s="4">
        <f>I266+J266+K266+L266+M266</f>
        <v>31147.35</v>
      </c>
      <c r="I266" s="4"/>
      <c r="J266" s="4"/>
      <c r="K266" s="4"/>
      <c r="L266" s="4">
        <f>3078.48</f>
        <v>3078.48</v>
      </c>
      <c r="M266" s="4">
        <v>28068.87</v>
      </c>
      <c r="N266" s="15">
        <v>1.4</v>
      </c>
      <c r="O266" s="14">
        <f>N266*C266*12</f>
        <v>6538.5599999999995</v>
      </c>
      <c r="P266" s="4">
        <f>201520.57/178236.42*C266</f>
        <v>440.0436557466762</v>
      </c>
      <c r="Q266" s="4">
        <f>C266*75000/178236.42</f>
        <v>163.771242712348</v>
      </c>
      <c r="R266" s="4">
        <v>31758.42</v>
      </c>
    </row>
    <row r="267" spans="1:18" ht="12.75">
      <c r="A267" s="72"/>
      <c r="B267" s="73"/>
      <c r="C267" s="72"/>
      <c r="D267" s="72"/>
      <c r="E267" s="72"/>
      <c r="F267" s="74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</row>
    <row r="268" spans="1:18" ht="12.75">
      <c r="A268" s="75"/>
      <c r="B268" s="73"/>
      <c r="C268" s="18"/>
      <c r="D268" s="18"/>
      <c r="E268" s="18"/>
      <c r="F268" s="74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</row>
    <row r="269" spans="1:18" ht="12.75">
      <c r="A269" s="75"/>
      <c r="B269" s="73"/>
      <c r="C269" s="18"/>
      <c r="D269" s="18"/>
      <c r="E269" s="18"/>
      <c r="F269" s="74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</row>
    <row r="270" spans="1:18" ht="12.75">
      <c r="A270" s="6" t="s">
        <v>59</v>
      </c>
      <c r="B270" s="36"/>
      <c r="C270" s="76"/>
      <c r="D270" s="19"/>
      <c r="E270" s="19"/>
      <c r="F270" s="19"/>
      <c r="H270" s="19"/>
      <c r="I270" s="19"/>
      <c r="J270" s="19"/>
      <c r="K270" s="19"/>
      <c r="L270" s="19"/>
      <c r="M270" s="20"/>
      <c r="N270" s="19"/>
      <c r="O270" s="19"/>
      <c r="P270" s="19"/>
      <c r="Q270" s="19"/>
      <c r="R270" s="19"/>
    </row>
    <row r="271" spans="1:18" ht="12.75" customHeight="1">
      <c r="A271" s="45" t="s">
        <v>4</v>
      </c>
      <c r="B271" s="46"/>
      <c r="C271" s="47" t="s">
        <v>47</v>
      </c>
      <c r="D271" s="38" t="s">
        <v>66</v>
      </c>
      <c r="E271" s="38" t="s">
        <v>69</v>
      </c>
      <c r="F271" s="38" t="s">
        <v>0</v>
      </c>
      <c r="G271" s="38" t="s">
        <v>71</v>
      </c>
      <c r="H271" s="38" t="s">
        <v>49</v>
      </c>
      <c r="I271" s="48" t="s">
        <v>50</v>
      </c>
      <c r="J271" s="49"/>
      <c r="K271" s="49"/>
      <c r="L271" s="49"/>
      <c r="M271" s="50"/>
      <c r="N271" s="38" t="s">
        <v>70</v>
      </c>
      <c r="O271" s="37" t="s">
        <v>46</v>
      </c>
      <c r="P271" s="37" t="s">
        <v>73</v>
      </c>
      <c r="Q271" s="37" t="s">
        <v>74</v>
      </c>
      <c r="R271" s="51" t="s">
        <v>48</v>
      </c>
    </row>
    <row r="272" spans="1:18" ht="66" customHeight="1">
      <c r="A272" s="52"/>
      <c r="B272" s="53"/>
      <c r="C272" s="54"/>
      <c r="D272" s="39"/>
      <c r="E272" s="39"/>
      <c r="F272" s="39"/>
      <c r="G272" s="39"/>
      <c r="H272" s="55"/>
      <c r="I272" s="37" t="s">
        <v>52</v>
      </c>
      <c r="J272" s="37" t="s">
        <v>51</v>
      </c>
      <c r="K272" s="37" t="s">
        <v>75</v>
      </c>
      <c r="L272" s="37" t="s">
        <v>68</v>
      </c>
      <c r="M272" s="56" t="s">
        <v>53</v>
      </c>
      <c r="N272" s="39"/>
      <c r="O272" s="37"/>
      <c r="P272" s="37"/>
      <c r="Q272" s="37"/>
      <c r="R272" s="34" t="s">
        <v>44</v>
      </c>
    </row>
    <row r="273" spans="1:18" ht="52.5" customHeight="1">
      <c r="A273" s="34" t="s">
        <v>5</v>
      </c>
      <c r="B273" s="57" t="s">
        <v>6</v>
      </c>
      <c r="C273" s="58"/>
      <c r="D273" s="40"/>
      <c r="E273" s="40"/>
      <c r="F273" s="40"/>
      <c r="G273" s="40"/>
      <c r="H273" s="59"/>
      <c r="I273" s="37"/>
      <c r="J273" s="37"/>
      <c r="K273" s="37"/>
      <c r="L273" s="37"/>
      <c r="M273" s="56"/>
      <c r="N273" s="40"/>
      <c r="O273" s="37"/>
      <c r="P273" s="37"/>
      <c r="Q273" s="37"/>
      <c r="R273" s="34" t="s">
        <v>67</v>
      </c>
    </row>
    <row r="274" spans="1:18" ht="12.75">
      <c r="A274" s="60">
        <v>1</v>
      </c>
      <c r="B274" s="32">
        <v>2</v>
      </c>
      <c r="C274" s="61">
        <v>3</v>
      </c>
      <c r="D274" s="32">
        <v>4</v>
      </c>
      <c r="E274" s="32">
        <v>5</v>
      </c>
      <c r="F274" s="32">
        <v>6</v>
      </c>
      <c r="G274" s="32">
        <v>7</v>
      </c>
      <c r="H274" s="32">
        <v>8</v>
      </c>
      <c r="I274" s="32">
        <v>9</v>
      </c>
      <c r="J274" s="32">
        <v>10</v>
      </c>
      <c r="K274" s="32">
        <v>11</v>
      </c>
      <c r="L274" s="32">
        <v>12</v>
      </c>
      <c r="M274" s="61">
        <v>13</v>
      </c>
      <c r="N274" s="32"/>
      <c r="O274" s="32">
        <v>14</v>
      </c>
      <c r="P274" s="32">
        <v>15</v>
      </c>
      <c r="Q274" s="32">
        <v>16</v>
      </c>
      <c r="R274" s="62">
        <v>16</v>
      </c>
    </row>
    <row r="275" spans="1:18" ht="12.75">
      <c r="A275" s="1" t="s">
        <v>55</v>
      </c>
      <c r="B275" s="5">
        <v>1</v>
      </c>
      <c r="C275" s="11">
        <v>1310</v>
      </c>
      <c r="D275" s="9">
        <v>97589</v>
      </c>
      <c r="E275" s="9">
        <v>83961</v>
      </c>
      <c r="F275" s="7">
        <f>E275*100/D275</f>
        <v>86.03531135681276</v>
      </c>
      <c r="G275" s="4">
        <f>H275+O275+P275+Q275</f>
        <v>106318.16772091809</v>
      </c>
      <c r="H275" s="4">
        <v>80548.6</v>
      </c>
      <c r="I275" s="4">
        <v>792.4</v>
      </c>
      <c r="J275" s="4">
        <v>843.84</v>
      </c>
      <c r="K275" s="4">
        <v>1989</v>
      </c>
      <c r="L275" s="4">
        <f>629.04+10379.64</f>
        <v>11008.68</v>
      </c>
      <c r="M275" s="4">
        <f>16543+49165.02+206.66</f>
        <v>65914.68</v>
      </c>
      <c r="N275" s="11">
        <v>1.51</v>
      </c>
      <c r="O275" s="14">
        <f>N275*C275*12</f>
        <v>23737.199999999997</v>
      </c>
      <c r="P275" s="4">
        <f>201520.57/178236.42*C275</f>
        <v>1481.1335792090078</v>
      </c>
      <c r="Q275" s="4">
        <f>C275*75000/178236.42</f>
        <v>551.234141709085</v>
      </c>
      <c r="R275" s="77">
        <v>93975</v>
      </c>
    </row>
    <row r="276" spans="1:18" ht="12.75">
      <c r="A276" s="1"/>
      <c r="B276" s="5"/>
      <c r="C276" s="11"/>
      <c r="D276" s="9"/>
      <c r="E276" s="9"/>
      <c r="F276" s="7"/>
      <c r="G276" s="4"/>
      <c r="H276" s="4"/>
      <c r="I276" s="4"/>
      <c r="J276" s="4"/>
      <c r="K276" s="4"/>
      <c r="L276" s="4"/>
      <c r="M276" s="4"/>
      <c r="N276" s="11"/>
      <c r="O276" s="14"/>
      <c r="P276" s="4"/>
      <c r="Q276" s="4"/>
      <c r="R276" s="77"/>
    </row>
    <row r="277" spans="1:18" ht="12.75">
      <c r="A277" s="1" t="s">
        <v>55</v>
      </c>
      <c r="B277" s="5">
        <v>2</v>
      </c>
      <c r="C277" s="11">
        <v>1297.46</v>
      </c>
      <c r="D277" s="9">
        <v>99470</v>
      </c>
      <c r="E277" s="9">
        <v>85963</v>
      </c>
      <c r="F277" s="7">
        <f>E277*100/D277</f>
        <v>86.4210314667739</v>
      </c>
      <c r="G277" s="4">
        <f>H277+O277+P277+Q277</f>
        <v>146341.15804212395</v>
      </c>
      <c r="H277" s="4">
        <v>120818.27</v>
      </c>
      <c r="I277" s="4">
        <v>792.4</v>
      </c>
      <c r="J277" s="4">
        <v>850.71</v>
      </c>
      <c r="K277" s="4">
        <v>1755</v>
      </c>
      <c r="L277" s="4">
        <f>10318.2+625.32</f>
        <v>10943.52</v>
      </c>
      <c r="M277" s="4">
        <f>206.66+82503.98+23766</f>
        <v>106476.64</v>
      </c>
      <c r="N277" s="11">
        <v>1.51</v>
      </c>
      <c r="O277" s="14">
        <f>N277*C277*12</f>
        <v>23509.9752</v>
      </c>
      <c r="P277" s="4">
        <f>201520.57/178236.42*C277</f>
        <v>1466.9553997561218</v>
      </c>
      <c r="Q277" s="4">
        <f>C277*75000/178236.42</f>
        <v>545.9574423678392</v>
      </c>
      <c r="R277" s="77">
        <v>108634</v>
      </c>
    </row>
    <row r="278" spans="1:18" ht="12.75">
      <c r="A278" s="1"/>
      <c r="B278" s="5"/>
      <c r="C278" s="11"/>
      <c r="D278" s="9"/>
      <c r="E278" s="9"/>
      <c r="F278" s="7"/>
      <c r="G278" s="4"/>
      <c r="H278" s="4"/>
      <c r="I278" s="4"/>
      <c r="J278" s="4"/>
      <c r="K278" s="4"/>
      <c r="L278" s="4"/>
      <c r="M278" s="4"/>
      <c r="N278" s="11"/>
      <c r="O278" s="14"/>
      <c r="P278" s="4"/>
      <c r="Q278" s="4"/>
      <c r="R278" s="77"/>
    </row>
    <row r="279" spans="1:18" ht="12.75">
      <c r="A279" s="1" t="s">
        <v>55</v>
      </c>
      <c r="B279" s="5">
        <v>3</v>
      </c>
      <c r="C279" s="11">
        <v>1285.94</v>
      </c>
      <c r="D279" s="9">
        <v>95064</v>
      </c>
      <c r="E279" s="9">
        <v>77683</v>
      </c>
      <c r="F279" s="7">
        <f>E279*100/D279</f>
        <v>81.71652781284187</v>
      </c>
      <c r="G279" s="4">
        <f>H279+O279+P279+Q279</f>
        <v>108581.37321758582</v>
      </c>
      <c r="H279" s="4">
        <v>83285.1</v>
      </c>
      <c r="I279" s="4">
        <v>792.4</v>
      </c>
      <c r="J279" s="4">
        <v>843.84</v>
      </c>
      <c r="K279" s="4">
        <v>1521</v>
      </c>
      <c r="L279" s="4">
        <f>618.96+10223.76</f>
        <v>10842.720000000001</v>
      </c>
      <c r="M279" s="4">
        <f>206.66+48807.48+20271</f>
        <v>69285.14000000001</v>
      </c>
      <c r="N279" s="11">
        <v>1.51</v>
      </c>
      <c r="O279" s="14">
        <f>N279*C279*12</f>
        <v>23301.2328</v>
      </c>
      <c r="P279" s="4">
        <f>201520.57/178236.42*C279</f>
        <v>1453.9304693496426</v>
      </c>
      <c r="Q279" s="4">
        <f>C279*75000/178236.42</f>
        <v>541.1099482361685</v>
      </c>
      <c r="R279" s="77">
        <v>249555</v>
      </c>
    </row>
    <row r="280" spans="1:18" ht="12" customHeight="1">
      <c r="A280" s="19"/>
      <c r="B280" s="36"/>
      <c r="C280" s="76"/>
      <c r="D280" s="20"/>
      <c r="E280" s="20"/>
      <c r="F280" s="74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</row>
    <row r="281" spans="1:18" ht="12" customHeight="1">
      <c r="A281" s="19"/>
      <c r="B281" s="36"/>
      <c r="C281" s="76"/>
      <c r="D281" s="20"/>
      <c r="E281" s="20"/>
      <c r="F281" s="74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</row>
    <row r="282" spans="1:18" ht="12" customHeight="1">
      <c r="A282" s="19"/>
      <c r="B282" s="36"/>
      <c r="C282" s="76"/>
      <c r="D282" s="20"/>
      <c r="E282" s="20"/>
      <c r="F282" s="74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</row>
    <row r="283" spans="1:18" ht="12" customHeight="1">
      <c r="A283" s="19"/>
      <c r="B283" s="36"/>
      <c r="C283" s="76"/>
      <c r="D283" s="20"/>
      <c r="E283" s="20"/>
      <c r="F283" s="74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</row>
    <row r="284" spans="1:18" ht="12" customHeight="1">
      <c r="A284" s="19"/>
      <c r="B284" s="36"/>
      <c r="C284" s="76"/>
      <c r="D284" s="20"/>
      <c r="E284" s="20"/>
      <c r="F284" s="74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</row>
    <row r="285" spans="1:18" ht="12" customHeight="1">
      <c r="A285" s="19"/>
      <c r="B285" s="36"/>
      <c r="C285" s="76"/>
      <c r="D285" s="20"/>
      <c r="E285" s="20"/>
      <c r="F285" s="74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</row>
    <row r="286" spans="1:18" ht="12" customHeight="1">
      <c r="A286" s="19"/>
      <c r="B286" s="36"/>
      <c r="C286" s="76"/>
      <c r="D286" s="20"/>
      <c r="E286" s="20"/>
      <c r="F286" s="74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</row>
    <row r="287" spans="1:18" ht="12" customHeight="1">
      <c r="A287" s="19"/>
      <c r="B287" s="36"/>
      <c r="C287" s="76"/>
      <c r="D287" s="20"/>
      <c r="E287" s="20"/>
      <c r="F287" s="74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</row>
    <row r="288" spans="1:18" ht="12" customHeight="1">
      <c r="A288" s="19"/>
      <c r="B288" s="36"/>
      <c r="C288" s="76"/>
      <c r="D288" s="20"/>
      <c r="E288" s="20"/>
      <c r="F288" s="74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</row>
    <row r="289" spans="1:18" ht="12" customHeight="1">
      <c r="A289" s="19"/>
      <c r="B289" s="36"/>
      <c r="C289" s="76"/>
      <c r="D289" s="20"/>
      <c r="E289" s="20"/>
      <c r="F289" s="74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</row>
    <row r="290" spans="1:18" ht="12" customHeight="1">
      <c r="A290" s="19"/>
      <c r="B290" s="36"/>
      <c r="C290" s="76"/>
      <c r="D290" s="20"/>
      <c r="E290" s="20"/>
      <c r="F290" s="74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</row>
    <row r="291" spans="1:18" ht="12" customHeight="1">
      <c r="A291" s="19"/>
      <c r="B291" s="36"/>
      <c r="C291" s="76"/>
      <c r="D291" s="20"/>
      <c r="E291" s="20"/>
      <c r="F291" s="74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</row>
    <row r="292" spans="1:18" ht="12.75">
      <c r="A292" s="78" t="s">
        <v>58</v>
      </c>
      <c r="B292" s="36"/>
      <c r="C292" s="76"/>
      <c r="D292" s="19"/>
      <c r="E292" s="19"/>
      <c r="F292" s="19"/>
      <c r="H292" s="19"/>
      <c r="I292" s="19"/>
      <c r="J292" s="19"/>
      <c r="K292" s="19"/>
      <c r="L292" s="19"/>
      <c r="M292" s="20"/>
      <c r="N292" s="19"/>
      <c r="O292" s="19"/>
      <c r="P292" s="19"/>
      <c r="Q292" s="19"/>
      <c r="R292" s="19"/>
    </row>
    <row r="293" spans="1:18" ht="12.75" customHeight="1">
      <c r="A293" s="45" t="s">
        <v>4</v>
      </c>
      <c r="B293" s="46"/>
      <c r="C293" s="47" t="s">
        <v>47</v>
      </c>
      <c r="D293" s="38" t="s">
        <v>66</v>
      </c>
      <c r="E293" s="38" t="s">
        <v>69</v>
      </c>
      <c r="F293" s="38" t="s">
        <v>0</v>
      </c>
      <c r="G293" s="38" t="s">
        <v>71</v>
      </c>
      <c r="H293" s="38" t="s">
        <v>49</v>
      </c>
      <c r="I293" s="48" t="s">
        <v>50</v>
      </c>
      <c r="J293" s="49"/>
      <c r="K293" s="49"/>
      <c r="L293" s="49"/>
      <c r="M293" s="50"/>
      <c r="N293" s="38" t="s">
        <v>70</v>
      </c>
      <c r="O293" s="37" t="s">
        <v>46</v>
      </c>
      <c r="P293" s="37" t="s">
        <v>73</v>
      </c>
      <c r="Q293" s="37" t="s">
        <v>74</v>
      </c>
      <c r="R293" s="51" t="s">
        <v>48</v>
      </c>
    </row>
    <row r="294" spans="1:18" ht="66" customHeight="1">
      <c r="A294" s="52"/>
      <c r="B294" s="53"/>
      <c r="C294" s="54"/>
      <c r="D294" s="39"/>
      <c r="E294" s="39"/>
      <c r="F294" s="39"/>
      <c r="G294" s="39"/>
      <c r="H294" s="55"/>
      <c r="I294" s="37" t="s">
        <v>52</v>
      </c>
      <c r="J294" s="37" t="s">
        <v>51</v>
      </c>
      <c r="K294" s="37" t="s">
        <v>75</v>
      </c>
      <c r="L294" s="37" t="s">
        <v>68</v>
      </c>
      <c r="M294" s="56" t="s">
        <v>53</v>
      </c>
      <c r="N294" s="39"/>
      <c r="O294" s="37"/>
      <c r="P294" s="37"/>
      <c r="Q294" s="37"/>
      <c r="R294" s="34" t="s">
        <v>44</v>
      </c>
    </row>
    <row r="295" spans="1:18" ht="54" customHeight="1">
      <c r="A295" s="34" t="s">
        <v>5</v>
      </c>
      <c r="B295" s="57" t="s">
        <v>6</v>
      </c>
      <c r="C295" s="58"/>
      <c r="D295" s="40"/>
      <c r="E295" s="40"/>
      <c r="F295" s="40"/>
      <c r="G295" s="40"/>
      <c r="H295" s="59"/>
      <c r="I295" s="37"/>
      <c r="J295" s="37"/>
      <c r="K295" s="37"/>
      <c r="L295" s="37"/>
      <c r="M295" s="56"/>
      <c r="N295" s="40"/>
      <c r="O295" s="37"/>
      <c r="P295" s="37"/>
      <c r="Q295" s="37"/>
      <c r="R295" s="34" t="s">
        <v>67</v>
      </c>
    </row>
    <row r="296" spans="1:18" ht="12.75">
      <c r="A296" s="60">
        <v>1</v>
      </c>
      <c r="B296" s="32">
        <v>2</v>
      </c>
      <c r="C296" s="61">
        <v>3</v>
      </c>
      <c r="D296" s="32">
        <v>4</v>
      </c>
      <c r="E296" s="32">
        <v>5</v>
      </c>
      <c r="F296" s="32">
        <v>6</v>
      </c>
      <c r="G296" s="32">
        <v>7</v>
      </c>
      <c r="H296" s="32">
        <v>8</v>
      </c>
      <c r="I296" s="32">
        <v>9</v>
      </c>
      <c r="J296" s="32">
        <v>10</v>
      </c>
      <c r="K296" s="32">
        <v>11</v>
      </c>
      <c r="L296" s="32">
        <v>12</v>
      </c>
      <c r="M296" s="61">
        <v>13</v>
      </c>
      <c r="N296" s="32"/>
      <c r="O296" s="32">
        <v>14</v>
      </c>
      <c r="P296" s="32">
        <v>15</v>
      </c>
      <c r="Q296" s="32">
        <v>16</v>
      </c>
      <c r="R296" s="62">
        <v>16</v>
      </c>
    </row>
    <row r="297" spans="1:18" ht="12.75">
      <c r="A297" s="1" t="s">
        <v>56</v>
      </c>
      <c r="B297" s="5">
        <v>2</v>
      </c>
      <c r="C297" s="11">
        <v>783.18</v>
      </c>
      <c r="D297" s="4">
        <v>67666.8</v>
      </c>
      <c r="E297" s="4">
        <v>61162</v>
      </c>
      <c r="F297" s="7">
        <f>E297*100/D297</f>
        <v>90.38701401573593</v>
      </c>
      <c r="G297" s="4">
        <f>H297+O297+P297+Q297</f>
        <v>74122.26801196078</v>
      </c>
      <c r="H297" s="4">
        <v>59843.78</v>
      </c>
      <c r="I297" s="4">
        <v>812</v>
      </c>
      <c r="J297" s="4">
        <v>428.65</v>
      </c>
      <c r="K297" s="4">
        <v>0</v>
      </c>
      <c r="L297" s="4">
        <v>6165.6</v>
      </c>
      <c r="M297" s="4">
        <f>31125.53+21312</f>
        <v>52437.53</v>
      </c>
      <c r="N297" s="11">
        <v>1.39</v>
      </c>
      <c r="O297" s="14">
        <f>N297*C297*12</f>
        <v>13063.442399999998</v>
      </c>
      <c r="P297" s="4">
        <f>201520.57/178236.42*C297</f>
        <v>885.4917531029853</v>
      </c>
      <c r="Q297" s="4">
        <f aca="true" t="shared" si="11" ref="Q297:Q305">C297*75000/178236.42</f>
        <v>329.5538588578024</v>
      </c>
      <c r="R297" s="4">
        <v>40938</v>
      </c>
    </row>
    <row r="298" spans="1:18" ht="12.75">
      <c r="A298" s="1"/>
      <c r="B298" s="5"/>
      <c r="C298" s="11"/>
      <c r="D298" s="4"/>
      <c r="E298" s="4"/>
      <c r="F298" s="7"/>
      <c r="G298" s="4"/>
      <c r="H298" s="4"/>
      <c r="I298" s="4"/>
      <c r="J298" s="4"/>
      <c r="K298" s="4"/>
      <c r="L298" s="4"/>
      <c r="M298" s="4"/>
      <c r="N298" s="11"/>
      <c r="O298" s="14"/>
      <c r="P298" s="4"/>
      <c r="Q298" s="4">
        <f t="shared" si="11"/>
        <v>0</v>
      </c>
      <c r="R298" s="4"/>
    </row>
    <row r="299" spans="1:18" ht="12.75">
      <c r="A299" s="1" t="s">
        <v>56</v>
      </c>
      <c r="B299" s="5">
        <v>3</v>
      </c>
      <c r="C299" s="11">
        <v>577.03</v>
      </c>
      <c r="D299" s="4">
        <v>73744.56</v>
      </c>
      <c r="E299" s="4">
        <v>63696</v>
      </c>
      <c r="F299" s="7">
        <f>E299*100/D299</f>
        <v>86.37382879496468</v>
      </c>
      <c r="G299" s="4">
        <f>H299+O299+P299+Q299</f>
        <v>44002.79759542089</v>
      </c>
      <c r="H299" s="4">
        <v>26212.14</v>
      </c>
      <c r="I299" s="4">
        <v>602</v>
      </c>
      <c r="J299" s="4">
        <v>332.4</v>
      </c>
      <c r="K299" s="4"/>
      <c r="L299" s="4">
        <v>4414.56</v>
      </c>
      <c r="M299" s="4">
        <v>20863.18</v>
      </c>
      <c r="N299" s="11">
        <v>2.44</v>
      </c>
      <c r="O299" s="14">
        <f>N299*C299*12</f>
        <v>16895.4384</v>
      </c>
      <c r="P299" s="4">
        <f>201520.57/178236.42*C299</f>
        <v>652.4110757335678</v>
      </c>
      <c r="Q299" s="4">
        <f t="shared" si="11"/>
        <v>242.80811968732314</v>
      </c>
      <c r="R299" s="4">
        <v>43979.01</v>
      </c>
    </row>
    <row r="300" spans="1:18" ht="12.75">
      <c r="A300" s="1"/>
      <c r="B300" s="5"/>
      <c r="C300" s="11"/>
      <c r="D300" s="4"/>
      <c r="E300" s="4"/>
      <c r="F300" s="7"/>
      <c r="G300" s="4"/>
      <c r="H300" s="4"/>
      <c r="I300" s="4"/>
      <c r="J300" s="4"/>
      <c r="K300" s="4"/>
      <c r="L300" s="4"/>
      <c r="M300" s="4"/>
      <c r="N300" s="11"/>
      <c r="O300" s="14"/>
      <c r="P300" s="4"/>
      <c r="Q300" s="4">
        <f t="shared" si="11"/>
        <v>0</v>
      </c>
      <c r="R300" s="4"/>
    </row>
    <row r="301" spans="1:18" ht="12.75">
      <c r="A301" s="1" t="s">
        <v>56</v>
      </c>
      <c r="B301" s="5">
        <v>4</v>
      </c>
      <c r="C301" s="11">
        <v>850.26</v>
      </c>
      <c r="D301" s="4">
        <v>108664</v>
      </c>
      <c r="E301" s="4">
        <v>95697</v>
      </c>
      <c r="F301" s="7">
        <f>E301*100/D301</f>
        <v>88.0668850769344</v>
      </c>
      <c r="G301" s="4">
        <f>H301+O301+P301+Q301</f>
        <v>65446.23805067772</v>
      </c>
      <c r="H301" s="4">
        <v>39231.51</v>
      </c>
      <c r="I301" s="4">
        <v>896</v>
      </c>
      <c r="J301" s="4">
        <v>430.94</v>
      </c>
      <c r="K301" s="4"/>
      <c r="L301" s="4">
        <v>6619.56</v>
      </c>
      <c r="M301" s="4">
        <f>30677.63+413.26+194.12</f>
        <v>31285.01</v>
      </c>
      <c r="N301" s="11">
        <v>2.44</v>
      </c>
      <c r="O301" s="14">
        <f>N301*C301*12</f>
        <v>24895.6128</v>
      </c>
      <c r="P301" s="4">
        <f>201520.57/178236.42*C301</f>
        <v>961.3348374490466</v>
      </c>
      <c r="Q301" s="4">
        <f t="shared" si="11"/>
        <v>357.7804132286768</v>
      </c>
      <c r="R301" s="4">
        <v>76279</v>
      </c>
    </row>
    <row r="302" spans="1:18" ht="12.75">
      <c r="A302" s="1"/>
      <c r="B302" s="5"/>
      <c r="C302" s="11"/>
      <c r="D302" s="4"/>
      <c r="E302" s="4"/>
      <c r="F302" s="7"/>
      <c r="G302" s="4"/>
      <c r="H302" s="4"/>
      <c r="I302" s="4"/>
      <c r="J302" s="4"/>
      <c r="K302" s="4"/>
      <c r="L302" s="4"/>
      <c r="M302" s="4"/>
      <c r="N302" s="11"/>
      <c r="O302" s="14"/>
      <c r="P302" s="4"/>
      <c r="Q302" s="4">
        <f t="shared" si="11"/>
        <v>0</v>
      </c>
      <c r="R302" s="4"/>
    </row>
    <row r="303" spans="1:18" ht="12.75">
      <c r="A303" s="1" t="s">
        <v>56</v>
      </c>
      <c r="B303" s="5">
        <v>5</v>
      </c>
      <c r="C303" s="11">
        <v>796.06</v>
      </c>
      <c r="D303" s="4">
        <v>101757</v>
      </c>
      <c r="E303" s="4">
        <v>93676</v>
      </c>
      <c r="F303" s="7">
        <f>E303*100/D303</f>
        <v>92.05853159979166</v>
      </c>
      <c r="G303" s="4">
        <f>H303+O303+P303+Q303</f>
        <v>69816.72477550691</v>
      </c>
      <c r="H303" s="4">
        <v>45273.06</v>
      </c>
      <c r="I303" s="4">
        <v>910</v>
      </c>
      <c r="J303" s="4">
        <v>485.9</v>
      </c>
      <c r="K303" s="4"/>
      <c r="L303" s="4">
        <v>6222.72</v>
      </c>
      <c r="M303" s="4">
        <v>37654.44</v>
      </c>
      <c r="N303" s="11">
        <v>2.44</v>
      </c>
      <c r="O303" s="14">
        <f>N303*C303*12</f>
        <v>23308.6368</v>
      </c>
      <c r="P303" s="4">
        <f>201520.57/178236.42*C303</f>
        <v>900.0543489046739</v>
      </c>
      <c r="Q303" s="4">
        <f t="shared" si="11"/>
        <v>334.9736266022398</v>
      </c>
      <c r="R303" s="4">
        <v>44622</v>
      </c>
    </row>
    <row r="304" spans="1:18" ht="12.75">
      <c r="A304" s="1"/>
      <c r="B304" s="5"/>
      <c r="C304" s="11"/>
      <c r="D304" s="4"/>
      <c r="E304" s="4"/>
      <c r="F304" s="7"/>
      <c r="G304" s="4"/>
      <c r="H304" s="4"/>
      <c r="I304" s="4"/>
      <c r="J304" s="4"/>
      <c r="K304" s="4"/>
      <c r="L304" s="4"/>
      <c r="M304" s="4"/>
      <c r="N304" s="11"/>
      <c r="O304" s="14"/>
      <c r="P304" s="4"/>
      <c r="Q304" s="4">
        <f t="shared" si="11"/>
        <v>0</v>
      </c>
      <c r="R304" s="4"/>
    </row>
    <row r="305" spans="1:18" ht="12.75">
      <c r="A305" s="1" t="s">
        <v>56</v>
      </c>
      <c r="B305" s="5">
        <v>6</v>
      </c>
      <c r="C305" s="11">
        <v>857.7</v>
      </c>
      <c r="D305" s="4">
        <v>109615</v>
      </c>
      <c r="E305" s="4">
        <v>99234</v>
      </c>
      <c r="F305" s="7">
        <f>E305*100/D305</f>
        <v>90.52958080554669</v>
      </c>
      <c r="G305" s="4">
        <f>H305+O305+P305+Q305</f>
        <v>72650.29385819194</v>
      </c>
      <c r="H305" s="4">
        <v>46206.18</v>
      </c>
      <c r="I305" s="4">
        <v>845.6</v>
      </c>
      <c r="J305" s="4">
        <v>453.84</v>
      </c>
      <c r="K305" s="4"/>
      <c r="L305" s="4">
        <v>6789</v>
      </c>
      <c r="M305" s="4">
        <v>38117.74</v>
      </c>
      <c r="N305" s="11">
        <v>2.44</v>
      </c>
      <c r="O305" s="14">
        <f>N305*C305*12</f>
        <v>25113.456</v>
      </c>
      <c r="P305" s="4">
        <f>201520.57/178236.42*C305</f>
        <v>969.7467716698978</v>
      </c>
      <c r="Q305" s="4">
        <f t="shared" si="11"/>
        <v>360.91108652204747</v>
      </c>
      <c r="R305" s="4">
        <v>50489</v>
      </c>
    </row>
    <row r="306" spans="1:18" ht="12.75">
      <c r="A306" s="19"/>
      <c r="B306" s="36"/>
      <c r="C306" s="76"/>
      <c r="D306" s="20"/>
      <c r="E306" s="20"/>
      <c r="F306" s="18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</row>
    <row r="307" spans="1:18" ht="12.75">
      <c r="A307" s="78" t="s">
        <v>57</v>
      </c>
      <c r="B307" s="36"/>
      <c r="C307" s="76"/>
      <c r="D307" s="19"/>
      <c r="E307" s="19"/>
      <c r="F307" s="19"/>
      <c r="H307" s="19"/>
      <c r="I307" s="19"/>
      <c r="J307" s="19"/>
      <c r="K307" s="19"/>
      <c r="L307" s="19"/>
      <c r="M307" s="20"/>
      <c r="N307" s="19"/>
      <c r="O307" s="19"/>
      <c r="P307" s="19"/>
      <c r="Q307" s="19"/>
      <c r="R307" s="19"/>
    </row>
    <row r="308" spans="1:18" ht="12.75" customHeight="1">
      <c r="A308" s="45" t="s">
        <v>4</v>
      </c>
      <c r="B308" s="46"/>
      <c r="C308" s="47" t="s">
        <v>47</v>
      </c>
      <c r="D308" s="38" t="s">
        <v>66</v>
      </c>
      <c r="E308" s="38" t="s">
        <v>69</v>
      </c>
      <c r="F308" s="38" t="s">
        <v>0</v>
      </c>
      <c r="G308" s="38" t="s">
        <v>71</v>
      </c>
      <c r="H308" s="38" t="s">
        <v>49</v>
      </c>
      <c r="I308" s="48" t="s">
        <v>50</v>
      </c>
      <c r="J308" s="49"/>
      <c r="K308" s="49"/>
      <c r="L308" s="49"/>
      <c r="M308" s="50"/>
      <c r="N308" s="38" t="s">
        <v>70</v>
      </c>
      <c r="O308" s="37" t="s">
        <v>46</v>
      </c>
      <c r="P308" s="37" t="s">
        <v>73</v>
      </c>
      <c r="Q308" s="37" t="s">
        <v>74</v>
      </c>
      <c r="R308" s="51" t="s">
        <v>48</v>
      </c>
    </row>
    <row r="309" spans="1:18" ht="66" customHeight="1">
      <c r="A309" s="52"/>
      <c r="B309" s="53"/>
      <c r="C309" s="54"/>
      <c r="D309" s="39"/>
      <c r="E309" s="39"/>
      <c r="F309" s="39"/>
      <c r="G309" s="39"/>
      <c r="H309" s="55"/>
      <c r="I309" s="37" t="s">
        <v>52</v>
      </c>
      <c r="J309" s="37" t="s">
        <v>51</v>
      </c>
      <c r="K309" s="37" t="s">
        <v>75</v>
      </c>
      <c r="L309" s="37" t="s">
        <v>68</v>
      </c>
      <c r="M309" s="56" t="s">
        <v>53</v>
      </c>
      <c r="N309" s="39"/>
      <c r="O309" s="37"/>
      <c r="P309" s="37"/>
      <c r="Q309" s="37"/>
      <c r="R309" s="34" t="s">
        <v>44</v>
      </c>
    </row>
    <row r="310" spans="1:18" ht="51.75" customHeight="1">
      <c r="A310" s="34" t="s">
        <v>5</v>
      </c>
      <c r="B310" s="57" t="s">
        <v>6</v>
      </c>
      <c r="C310" s="58"/>
      <c r="D310" s="40"/>
      <c r="E310" s="40"/>
      <c r="F310" s="40"/>
      <c r="G310" s="40"/>
      <c r="H310" s="59"/>
      <c r="I310" s="37"/>
      <c r="J310" s="37"/>
      <c r="K310" s="37"/>
      <c r="L310" s="37"/>
      <c r="M310" s="56"/>
      <c r="N310" s="40"/>
      <c r="O310" s="37"/>
      <c r="P310" s="37"/>
      <c r="Q310" s="37"/>
      <c r="R310" s="34" t="s">
        <v>67</v>
      </c>
    </row>
    <row r="311" spans="1:18" ht="12.75">
      <c r="A311" s="60">
        <v>1</v>
      </c>
      <c r="B311" s="32">
        <v>2</v>
      </c>
      <c r="C311" s="61">
        <v>3</v>
      </c>
      <c r="D311" s="32">
        <v>4</v>
      </c>
      <c r="E311" s="32">
        <v>5</v>
      </c>
      <c r="F311" s="32">
        <v>6</v>
      </c>
      <c r="G311" s="32">
        <v>7</v>
      </c>
      <c r="H311" s="32">
        <v>8</v>
      </c>
      <c r="I311" s="32">
        <v>9</v>
      </c>
      <c r="J311" s="32">
        <v>10</v>
      </c>
      <c r="K311" s="32">
        <v>11</v>
      </c>
      <c r="L311" s="32">
        <v>12</v>
      </c>
      <c r="M311" s="61">
        <v>13</v>
      </c>
      <c r="N311" s="32"/>
      <c r="O311" s="32">
        <v>14</v>
      </c>
      <c r="P311" s="32">
        <v>15</v>
      </c>
      <c r="Q311" s="32">
        <v>16</v>
      </c>
      <c r="R311" s="62">
        <v>16</v>
      </c>
    </row>
    <row r="312" spans="1:18" ht="12.75">
      <c r="A312" s="1" t="s">
        <v>64</v>
      </c>
      <c r="B312" s="5">
        <v>1</v>
      </c>
      <c r="C312" s="11">
        <v>3481.34</v>
      </c>
      <c r="D312" s="4">
        <v>360256</v>
      </c>
      <c r="E312" s="4">
        <v>316184</v>
      </c>
      <c r="F312" s="7">
        <f>E312*100/D312</f>
        <v>87.76647717178895</v>
      </c>
      <c r="G312" s="4">
        <f>H312+O312+P312+Q312</f>
        <v>506436.096889726</v>
      </c>
      <c r="H312" s="4">
        <v>424584.83</v>
      </c>
      <c r="I312" s="4">
        <v>1657.6</v>
      </c>
      <c r="J312" s="4">
        <v>1426.2</v>
      </c>
      <c r="K312" s="4">
        <v>4329</v>
      </c>
      <c r="L312" s="4">
        <f>27978.48+1695.84</f>
        <v>29674.32</v>
      </c>
      <c r="M312" s="4">
        <f>168865.96+216107.94+1717.21+806.6</f>
        <v>387497.71</v>
      </c>
      <c r="N312" s="11">
        <v>1.83</v>
      </c>
      <c r="O312" s="4">
        <f>N312*C312*12</f>
        <v>76450.2264</v>
      </c>
      <c r="P312" s="4">
        <f>201520.57/178236.42*C312</f>
        <v>3936.129446292739</v>
      </c>
      <c r="Q312" s="4">
        <f aca="true" t="shared" si="12" ref="Q312:Q332">C312*75000/178236.42</f>
        <v>1464.9110434332106</v>
      </c>
      <c r="R312" s="4">
        <v>227873</v>
      </c>
    </row>
    <row r="313" spans="1:18" ht="12.75">
      <c r="A313" s="1"/>
      <c r="B313" s="5"/>
      <c r="C313" s="11"/>
      <c r="D313" s="4"/>
      <c r="E313" s="4"/>
      <c r="F313" s="7"/>
      <c r="G313" s="4"/>
      <c r="H313" s="4"/>
      <c r="I313" s="4"/>
      <c r="J313" s="4"/>
      <c r="K313" s="4"/>
      <c r="L313" s="4"/>
      <c r="M313" s="4"/>
      <c r="N313" s="11"/>
      <c r="O313" s="4"/>
      <c r="P313" s="4"/>
      <c r="Q313" s="4"/>
      <c r="R313" s="4"/>
    </row>
    <row r="314" spans="1:18" ht="12.75">
      <c r="A314" s="1" t="s">
        <v>64</v>
      </c>
      <c r="B314" s="5">
        <v>2</v>
      </c>
      <c r="C314" s="11">
        <v>3259.9</v>
      </c>
      <c r="D314" s="4">
        <v>333661</v>
      </c>
      <c r="E314" s="4">
        <v>288284</v>
      </c>
      <c r="F314" s="7">
        <f>E314*100/D314</f>
        <v>86.40026853602909</v>
      </c>
      <c r="G314" s="4">
        <f>H314+O314+P314+Q314</f>
        <v>258522.75677360373</v>
      </c>
      <c r="H314" s="4">
        <v>181877.86</v>
      </c>
      <c r="I314" s="4">
        <v>1212.4</v>
      </c>
      <c r="J314" s="4">
        <v>2187.3</v>
      </c>
      <c r="K314" s="4">
        <v>5265</v>
      </c>
      <c r="L314" s="4">
        <f>1564.8+25818.36</f>
        <v>27383.16</v>
      </c>
      <c r="M314" s="4">
        <v>145830</v>
      </c>
      <c r="N314" s="11">
        <v>1.83</v>
      </c>
      <c r="O314" s="4">
        <f>N314*C314*12</f>
        <v>71587.40400000001</v>
      </c>
      <c r="P314" s="4">
        <f>201520.57/178236.42*C314</f>
        <v>3685.7613395904164</v>
      </c>
      <c r="Q314" s="4">
        <f t="shared" si="12"/>
        <v>1371.7314340133178</v>
      </c>
      <c r="R314" s="4">
        <v>313430</v>
      </c>
    </row>
    <row r="315" spans="1:18" ht="12.75">
      <c r="A315" s="1"/>
      <c r="B315" s="5"/>
      <c r="C315" s="11"/>
      <c r="D315" s="4"/>
      <c r="E315" s="4"/>
      <c r="F315" s="7"/>
      <c r="G315" s="4"/>
      <c r="H315" s="4"/>
      <c r="I315" s="4"/>
      <c r="J315" s="4"/>
      <c r="K315" s="4"/>
      <c r="L315" s="4"/>
      <c r="M315" s="4"/>
      <c r="N315" s="11"/>
      <c r="O315" s="4"/>
      <c r="P315" s="4"/>
      <c r="Q315" s="4"/>
      <c r="R315" s="4"/>
    </row>
    <row r="316" spans="1:18" ht="12.75">
      <c r="A316" s="1" t="s">
        <v>64</v>
      </c>
      <c r="B316" s="5">
        <v>3</v>
      </c>
      <c r="C316" s="11">
        <v>4376.2</v>
      </c>
      <c r="D316" s="4">
        <v>447366</v>
      </c>
      <c r="E316" s="4">
        <v>397788</v>
      </c>
      <c r="F316" s="7">
        <f>E316*100/D316</f>
        <v>88.91779884926436</v>
      </c>
      <c r="G316" s="4">
        <f>H316+O316+P316+Q316</f>
        <v>567679.8813284594</v>
      </c>
      <c r="H316" s="4">
        <v>464789.18</v>
      </c>
      <c r="I316" s="4">
        <v>1600.2</v>
      </c>
      <c r="J316" s="4">
        <v>1421.2</v>
      </c>
      <c r="K316" s="4">
        <v>7137</v>
      </c>
      <c r="L316" s="4">
        <f>2100.6+34659.48</f>
        <v>36760.08</v>
      </c>
      <c r="M316" s="4">
        <f>417870.7</f>
        <v>417870.7</v>
      </c>
      <c r="N316" s="11">
        <v>1.83</v>
      </c>
      <c r="O316" s="4">
        <f>N316*C316*12</f>
        <v>96101.352</v>
      </c>
      <c r="P316" s="4">
        <f>201520.57/178236.42*C316</f>
        <v>4947.890663614092</v>
      </c>
      <c r="Q316" s="4">
        <f t="shared" si="12"/>
        <v>1841.4586648452655</v>
      </c>
      <c r="R316" s="4">
        <v>354751</v>
      </c>
    </row>
    <row r="317" spans="1:18" ht="12.75">
      <c r="A317" s="1"/>
      <c r="B317" s="5"/>
      <c r="C317" s="11"/>
      <c r="D317" s="4"/>
      <c r="E317" s="4"/>
      <c r="F317" s="7"/>
      <c r="G317" s="4"/>
      <c r="H317" s="4"/>
      <c r="I317" s="4"/>
      <c r="J317" s="4"/>
      <c r="K317" s="4"/>
      <c r="L317" s="4"/>
      <c r="M317" s="4"/>
      <c r="N317" s="11"/>
      <c r="O317" s="4"/>
      <c r="P317" s="4"/>
      <c r="Q317" s="4"/>
      <c r="R317" s="4"/>
    </row>
    <row r="318" spans="1:18" ht="12.75">
      <c r="A318" s="1" t="s">
        <v>64</v>
      </c>
      <c r="B318" s="5">
        <v>39</v>
      </c>
      <c r="C318" s="11">
        <v>101.2</v>
      </c>
      <c r="D318" s="4">
        <v>8865.12</v>
      </c>
      <c r="E318" s="4">
        <v>7390</v>
      </c>
      <c r="F318" s="7">
        <f>E318*100/D318</f>
        <v>83.3604057249084</v>
      </c>
      <c r="G318" s="4">
        <f>H318+O318+P318+Q318</f>
        <v>3140.180285005276</v>
      </c>
      <c r="H318" s="4">
        <v>1538.04</v>
      </c>
      <c r="I318" s="4"/>
      <c r="J318" s="4"/>
      <c r="K318" s="4"/>
      <c r="L318" s="4">
        <f>48.6+801.48</f>
        <v>850.08</v>
      </c>
      <c r="M318" s="4">
        <v>687.96</v>
      </c>
      <c r="N318" s="11">
        <v>1.19</v>
      </c>
      <c r="O318" s="4">
        <f>N318*C318*12</f>
        <v>1445.136</v>
      </c>
      <c r="P318" s="4">
        <f>201520.57/178236.42*C318</f>
        <v>114.42039558469588</v>
      </c>
      <c r="Q318" s="4">
        <f t="shared" si="12"/>
        <v>42.583889420579695</v>
      </c>
      <c r="R318" s="4">
        <v>8499</v>
      </c>
    </row>
    <row r="319" spans="1:18" ht="12.75">
      <c r="A319" s="1"/>
      <c r="B319" s="5"/>
      <c r="C319" s="11"/>
      <c r="D319" s="4"/>
      <c r="E319" s="4"/>
      <c r="F319" s="7"/>
      <c r="G319" s="4"/>
      <c r="H319" s="4"/>
      <c r="I319" s="4"/>
      <c r="J319" s="4"/>
      <c r="K319" s="4"/>
      <c r="L319" s="4"/>
      <c r="M319" s="4"/>
      <c r="N319" s="11"/>
      <c r="O319" s="4"/>
      <c r="P319" s="4"/>
      <c r="Q319" s="4"/>
      <c r="R319" s="4"/>
    </row>
    <row r="320" spans="1:18" ht="12.75">
      <c r="A320" s="1" t="s">
        <v>64</v>
      </c>
      <c r="B320" s="5">
        <v>43</v>
      </c>
      <c r="C320" s="11">
        <v>606.2</v>
      </c>
      <c r="D320" s="4">
        <v>53103.12</v>
      </c>
      <c r="E320" s="4">
        <v>51644</v>
      </c>
      <c r="F320" s="7">
        <f>E320*100/D320</f>
        <v>97.25228950765981</v>
      </c>
      <c r="G320" s="4">
        <f>H320+O320+P320+Q320</f>
        <v>52982.4302842905</v>
      </c>
      <c r="H320" s="4">
        <v>41930.54</v>
      </c>
      <c r="I320" s="4"/>
      <c r="J320" s="4">
        <v>465.5</v>
      </c>
      <c r="K320" s="4">
        <v>1287</v>
      </c>
      <c r="L320" s="4">
        <f>291+4801.08</f>
        <v>5092.08</v>
      </c>
      <c r="M320" s="4">
        <v>35085.96</v>
      </c>
      <c r="N320" s="11">
        <v>1.39</v>
      </c>
      <c r="O320" s="4">
        <f>N320*C320*12</f>
        <v>10111.416000000001</v>
      </c>
      <c r="P320" s="4">
        <f>201520.57/178236.42*C320</f>
        <v>685.3917371881685</v>
      </c>
      <c r="Q320" s="4">
        <f t="shared" si="12"/>
        <v>255.0825471023262</v>
      </c>
      <c r="R320" s="4">
        <v>34499</v>
      </c>
    </row>
    <row r="321" spans="1:18" ht="12.75">
      <c r="A321" s="1"/>
      <c r="B321" s="5"/>
      <c r="C321" s="11"/>
      <c r="D321" s="4"/>
      <c r="E321" s="4"/>
      <c r="F321" s="7"/>
      <c r="G321" s="4"/>
      <c r="H321" s="4"/>
      <c r="I321" s="4"/>
      <c r="J321" s="4"/>
      <c r="K321" s="4"/>
      <c r="L321" s="4"/>
      <c r="M321" s="4"/>
      <c r="N321" s="11"/>
      <c r="O321" s="4"/>
      <c r="P321" s="4"/>
      <c r="Q321" s="4"/>
      <c r="R321" s="4"/>
    </row>
    <row r="322" spans="1:18" ht="12.75">
      <c r="A322" s="1" t="s">
        <v>64</v>
      </c>
      <c r="B322" s="5">
        <v>46</v>
      </c>
      <c r="C322" s="11">
        <v>1961.59</v>
      </c>
      <c r="D322" s="4">
        <v>200788</v>
      </c>
      <c r="E322" s="4">
        <v>177315</v>
      </c>
      <c r="F322" s="7">
        <f>E322*100/D322</f>
        <v>88.30956033229077</v>
      </c>
      <c r="G322" s="4">
        <f>H322+O322+P322+Q322</f>
        <v>158065.1576195998</v>
      </c>
      <c r="H322" s="4">
        <v>111945.38</v>
      </c>
      <c r="I322" s="4">
        <v>1226.4</v>
      </c>
      <c r="J322" s="4">
        <v>1132.8</v>
      </c>
      <c r="K322" s="4">
        <v>2925</v>
      </c>
      <c r="L322" s="4">
        <f>15533.4+941.52</f>
        <v>16474.92</v>
      </c>
      <c r="M322" s="4">
        <f>88785+953.42+447.84</f>
        <v>90186.26</v>
      </c>
      <c r="N322" s="11">
        <v>1.83</v>
      </c>
      <c r="O322" s="4">
        <f>N322*C322*12</f>
        <v>43076.5164</v>
      </c>
      <c r="P322" s="4">
        <f>201520.57/178236.42*C322</f>
        <v>2217.8448989622884</v>
      </c>
      <c r="Q322" s="4">
        <f t="shared" si="12"/>
        <v>825.4163206374993</v>
      </c>
      <c r="R322" s="4">
        <v>156168</v>
      </c>
    </row>
    <row r="323" spans="1:18" ht="12.75">
      <c r="A323" s="1"/>
      <c r="B323" s="5"/>
      <c r="C323" s="11"/>
      <c r="D323" s="4"/>
      <c r="E323" s="4"/>
      <c r="F323" s="7"/>
      <c r="G323" s="4"/>
      <c r="H323" s="4"/>
      <c r="I323" s="4"/>
      <c r="J323" s="4"/>
      <c r="K323" s="4"/>
      <c r="L323" s="4"/>
      <c r="M323" s="4"/>
      <c r="N323" s="11"/>
      <c r="O323" s="4"/>
      <c r="P323" s="4"/>
      <c r="Q323" s="4"/>
      <c r="R323" s="4"/>
    </row>
    <row r="324" spans="1:18" ht="12.75">
      <c r="A324" s="1" t="s">
        <v>63</v>
      </c>
      <c r="B324" s="5" t="s">
        <v>22</v>
      </c>
      <c r="C324" s="11">
        <v>958.5</v>
      </c>
      <c r="D324" s="4">
        <v>110074</v>
      </c>
      <c r="E324" s="4">
        <v>91853</v>
      </c>
      <c r="F324" s="7">
        <f>E324*100/D324</f>
        <v>83.4465904754983</v>
      </c>
      <c r="G324" s="4">
        <f>H324+O324+P324+Q324</f>
        <v>91919.14157290076</v>
      </c>
      <c r="H324" s="4">
        <v>66622.96</v>
      </c>
      <c r="I324" s="4">
        <v>996.8</v>
      </c>
      <c r="J324" s="4">
        <v>547.8</v>
      </c>
      <c r="K324" s="4">
        <v>1404</v>
      </c>
      <c r="L324" s="4">
        <f>7694.28+460.08</f>
        <v>8154.36</v>
      </c>
      <c r="M324" s="4">
        <v>55520</v>
      </c>
      <c r="N324" s="11">
        <v>2.07</v>
      </c>
      <c r="O324" s="4">
        <f>N324*C324*12</f>
        <v>23809.14</v>
      </c>
      <c r="P324" s="4">
        <f>201520.57/178236.42*C324</f>
        <v>1083.714912726591</v>
      </c>
      <c r="Q324" s="4">
        <f t="shared" si="12"/>
        <v>403.3266601741664</v>
      </c>
      <c r="R324" s="4">
        <v>124237</v>
      </c>
    </row>
    <row r="325" spans="1:18" ht="12.75">
      <c r="A325" s="1"/>
      <c r="B325" s="5"/>
      <c r="C325" s="11"/>
      <c r="D325" s="4"/>
      <c r="E325" s="4"/>
      <c r="F325" s="7"/>
      <c r="G325" s="4"/>
      <c r="H325" s="4"/>
      <c r="I325" s="4"/>
      <c r="J325" s="4"/>
      <c r="K325" s="4"/>
      <c r="L325" s="4"/>
      <c r="M325" s="4"/>
      <c r="N325" s="11"/>
      <c r="O325" s="4"/>
      <c r="P325" s="4"/>
      <c r="Q325" s="4"/>
      <c r="R325" s="4"/>
    </row>
    <row r="326" spans="1:18" ht="12.75">
      <c r="A326" s="1" t="s">
        <v>63</v>
      </c>
      <c r="B326" s="5" t="s">
        <v>23</v>
      </c>
      <c r="C326" s="11">
        <v>879.8</v>
      </c>
      <c r="D326" s="4">
        <v>101031</v>
      </c>
      <c r="E326" s="4">
        <v>82528</v>
      </c>
      <c r="F326" s="7">
        <f>E326*100/D326</f>
        <v>81.68581920400669</v>
      </c>
      <c r="G326" s="4">
        <f>H326+O326+P326+Q326</f>
        <v>68764.66636707155</v>
      </c>
      <c r="H326" s="4">
        <v>45545.49</v>
      </c>
      <c r="I326" s="4">
        <v>0</v>
      </c>
      <c r="J326" s="4">
        <v>520.25</v>
      </c>
      <c r="K326" s="4">
        <v>1404</v>
      </c>
      <c r="L326" s="4">
        <f>422.28+6968.04</f>
        <v>7390.32</v>
      </c>
      <c r="M326" s="4">
        <v>36230.92</v>
      </c>
      <c r="N326" s="11">
        <v>2.07</v>
      </c>
      <c r="O326" s="4">
        <f>N326*C326*12</f>
        <v>21854.231999999996</v>
      </c>
      <c r="P326" s="4">
        <f>201520.57/178236.42*C326</f>
        <v>994.7338343420497</v>
      </c>
      <c r="Q326" s="4">
        <f t="shared" si="12"/>
        <v>370.2105327295061</v>
      </c>
      <c r="R326" s="4">
        <v>188153</v>
      </c>
    </row>
    <row r="327" spans="1:18" ht="12.75">
      <c r="A327" s="1"/>
      <c r="B327" s="5"/>
      <c r="C327" s="11"/>
      <c r="D327" s="4"/>
      <c r="E327" s="4"/>
      <c r="F327" s="7"/>
      <c r="G327" s="4"/>
      <c r="H327" s="4"/>
      <c r="I327" s="4"/>
      <c r="J327" s="4"/>
      <c r="K327" s="4"/>
      <c r="L327" s="4"/>
      <c r="M327" s="4"/>
      <c r="N327" s="11"/>
      <c r="O327" s="4"/>
      <c r="P327" s="4"/>
      <c r="Q327" s="4"/>
      <c r="R327" s="4"/>
    </row>
    <row r="328" spans="1:18" ht="12.75">
      <c r="A328" s="1" t="s">
        <v>62</v>
      </c>
      <c r="B328" s="5">
        <v>1</v>
      </c>
      <c r="C328" s="11">
        <v>787.7</v>
      </c>
      <c r="D328" s="4">
        <v>58156</v>
      </c>
      <c r="E328" s="4">
        <v>48428</v>
      </c>
      <c r="F328" s="7">
        <f>E328*100/D328</f>
        <v>83.27257720613522</v>
      </c>
      <c r="G328" s="4">
        <f>H328+O328+P328+Q328</f>
        <v>101045.80605631082</v>
      </c>
      <c r="H328" s="4">
        <v>80257.28</v>
      </c>
      <c r="I328" s="4"/>
      <c r="J328" s="4"/>
      <c r="K328" s="4"/>
      <c r="L328" s="4">
        <f>6240.12+378.12</f>
        <v>6618.24</v>
      </c>
      <c r="M328" s="4">
        <v>73639.04</v>
      </c>
      <c r="N328" s="11">
        <v>2.07</v>
      </c>
      <c r="O328" s="4">
        <f>N328*C328*12</f>
        <v>19566.468</v>
      </c>
      <c r="P328" s="4">
        <f>201520.57/178236.42*C328</f>
        <v>890.6022292694165</v>
      </c>
      <c r="Q328" s="4">
        <f t="shared" si="12"/>
        <v>331.45582704140935</v>
      </c>
      <c r="R328" s="4">
        <v>75560</v>
      </c>
    </row>
    <row r="329" spans="1:18" ht="12.75">
      <c r="A329" s="1"/>
      <c r="B329" s="5"/>
      <c r="C329" s="11"/>
      <c r="D329" s="4"/>
      <c r="E329" s="4"/>
      <c r="F329" s="7"/>
      <c r="G329" s="4"/>
      <c r="H329" s="4"/>
      <c r="I329" s="4"/>
      <c r="J329" s="4"/>
      <c r="K329" s="4"/>
      <c r="L329" s="4"/>
      <c r="M329" s="4"/>
      <c r="N329" s="11"/>
      <c r="O329" s="4"/>
      <c r="P329" s="4"/>
      <c r="Q329" s="4"/>
      <c r="R329" s="4"/>
    </row>
    <row r="330" spans="1:18" ht="12.75">
      <c r="A330" s="1" t="s">
        <v>61</v>
      </c>
      <c r="B330" s="5">
        <v>1</v>
      </c>
      <c r="C330" s="11">
        <v>377.5</v>
      </c>
      <c r="D330" s="4">
        <v>33385.92</v>
      </c>
      <c r="E330" s="4">
        <v>26706</v>
      </c>
      <c r="F330" s="7">
        <f>E330*100/D330</f>
        <v>79.99180492854474</v>
      </c>
      <c r="G330" s="4">
        <f>H330+O330+P330+Q330</f>
        <v>19355.763217287466</v>
      </c>
      <c r="H330" s="4">
        <v>9393</v>
      </c>
      <c r="I330" s="4"/>
      <c r="J330" s="4"/>
      <c r="K330" s="4"/>
      <c r="L330" s="4">
        <f>2989.8+181.2</f>
        <v>3171</v>
      </c>
      <c r="M330" s="4">
        <v>6222</v>
      </c>
      <c r="N330" s="11">
        <v>2.07</v>
      </c>
      <c r="O330" s="4">
        <f>N330*C330*12</f>
        <v>9377.099999999999</v>
      </c>
      <c r="P330" s="4">
        <f>201520.57/178236.42*C330</f>
        <v>426.8152108025958</v>
      </c>
      <c r="Q330" s="4">
        <f t="shared" si="12"/>
        <v>158.84800648486993</v>
      </c>
      <c r="R330" s="4">
        <v>29663</v>
      </c>
    </row>
    <row r="331" spans="1:18" ht="12.75">
      <c r="A331" s="1"/>
      <c r="B331" s="5"/>
      <c r="C331" s="11"/>
      <c r="D331" s="4"/>
      <c r="E331" s="4"/>
      <c r="F331" s="7"/>
      <c r="G331" s="4"/>
      <c r="H331" s="4"/>
      <c r="I331" s="4"/>
      <c r="J331" s="4"/>
      <c r="K331" s="4"/>
      <c r="L331" s="4"/>
      <c r="M331" s="4"/>
      <c r="N331" s="11"/>
      <c r="O331" s="4"/>
      <c r="P331" s="4"/>
      <c r="Q331" s="4"/>
      <c r="R331" s="4"/>
    </row>
    <row r="332" spans="1:18" ht="12.75">
      <c r="A332" s="1" t="s">
        <v>61</v>
      </c>
      <c r="B332" s="5">
        <v>2</v>
      </c>
      <c r="C332" s="11">
        <v>376.2</v>
      </c>
      <c r="D332" s="4">
        <v>33181.08</v>
      </c>
      <c r="E332" s="4">
        <v>27850</v>
      </c>
      <c r="F332" s="7">
        <f>E332*100/D332</f>
        <v>83.93337407944527</v>
      </c>
      <c r="G332" s="4">
        <f>H332+O332+P332+Q332</f>
        <v>18862.57436382396</v>
      </c>
      <c r="H332" s="4">
        <v>8934.12</v>
      </c>
      <c r="I332" s="4"/>
      <c r="J332" s="4"/>
      <c r="K332" s="4"/>
      <c r="L332" s="4">
        <f>2979.48+180.6</f>
        <v>3160.08</v>
      </c>
      <c r="M332" s="4">
        <v>5774.04</v>
      </c>
      <c r="N332" s="11">
        <v>2.07</v>
      </c>
      <c r="O332" s="4">
        <f>N332*C332*12</f>
        <v>9344.807999999999</v>
      </c>
      <c r="P332" s="4">
        <f>201520.57/178236.42*C332</f>
        <v>425.3453835865869</v>
      </c>
      <c r="Q332" s="4">
        <f t="shared" si="12"/>
        <v>158.30098023737236</v>
      </c>
      <c r="R332" s="4">
        <v>30728</v>
      </c>
    </row>
  </sheetData>
  <sheetProtection password="CA9C" sheet="1" objects="1" scenarios="1"/>
  <mergeCells count="69">
    <mergeCell ref="N293:N295"/>
    <mergeCell ref="O293:O295"/>
    <mergeCell ref="P293:P295"/>
    <mergeCell ref="Q293:Q295"/>
    <mergeCell ref="N308:N310"/>
    <mergeCell ref="O308:O310"/>
    <mergeCell ref="P308:P310"/>
    <mergeCell ref="Q308:Q310"/>
    <mergeCell ref="I309:I310"/>
    <mergeCell ref="J309:J310"/>
    <mergeCell ref="K309:K310"/>
    <mergeCell ref="I308:M308"/>
    <mergeCell ref="L309:L310"/>
    <mergeCell ref="M309:M310"/>
    <mergeCell ref="L294:L295"/>
    <mergeCell ref="M294:M295"/>
    <mergeCell ref="I293:M293"/>
    <mergeCell ref="A308:B309"/>
    <mergeCell ref="C308:C310"/>
    <mergeCell ref="D308:D310"/>
    <mergeCell ref="E308:E310"/>
    <mergeCell ref="F308:F310"/>
    <mergeCell ref="G308:G310"/>
    <mergeCell ref="H308:H310"/>
    <mergeCell ref="I294:I295"/>
    <mergeCell ref="J294:J295"/>
    <mergeCell ref="K294:K295"/>
    <mergeCell ref="A293:B294"/>
    <mergeCell ref="C293:C295"/>
    <mergeCell ref="D293:D295"/>
    <mergeCell ref="E293:E295"/>
    <mergeCell ref="F293:F295"/>
    <mergeCell ref="G293:G295"/>
    <mergeCell ref="H293:H295"/>
    <mergeCell ref="A4:B5"/>
    <mergeCell ref="A271:B272"/>
    <mergeCell ref="C271:C273"/>
    <mergeCell ref="D271:D273"/>
    <mergeCell ref="E271:E273"/>
    <mergeCell ref="F271:F273"/>
    <mergeCell ref="G271:G273"/>
    <mergeCell ref="H271:H273"/>
    <mergeCell ref="I5:I6"/>
    <mergeCell ref="L5:L6"/>
    <mergeCell ref="I272:I273"/>
    <mergeCell ref="J272:J273"/>
    <mergeCell ref="K272:K273"/>
    <mergeCell ref="L272:L273"/>
    <mergeCell ref="A1:R1"/>
    <mergeCell ref="C4:C6"/>
    <mergeCell ref="D4:D6"/>
    <mergeCell ref="E4:E6"/>
    <mergeCell ref="J5:J6"/>
    <mergeCell ref="M5:M6"/>
    <mergeCell ref="K5:K6"/>
    <mergeCell ref="F4:F6"/>
    <mergeCell ref="H4:H6"/>
    <mergeCell ref="G4:G6"/>
    <mergeCell ref="I4:M4"/>
    <mergeCell ref="I271:M271"/>
    <mergeCell ref="N271:N273"/>
    <mergeCell ref="M272:M273"/>
    <mergeCell ref="N4:N6"/>
    <mergeCell ref="O4:O6"/>
    <mergeCell ref="P4:P6"/>
    <mergeCell ref="Q4:Q6"/>
    <mergeCell ref="O271:O273"/>
    <mergeCell ref="P271:P273"/>
    <mergeCell ref="Q271:Q273"/>
  </mergeCells>
  <printOptions/>
  <pageMargins left="0.7" right="0.27" top="0.24" bottom="0.19" header="0.25" footer="0.2"/>
  <pageSetup fitToHeight="7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Жилкомцентр</dc:creator>
  <cp:keywords/>
  <dc:description/>
  <cp:lastModifiedBy>Жилкомцентр</cp:lastModifiedBy>
  <cp:lastPrinted>2013-04-01T11:23:26Z</cp:lastPrinted>
  <dcterms:created xsi:type="dcterms:W3CDTF">2011-03-21T12:29:04Z</dcterms:created>
  <dcterms:modified xsi:type="dcterms:W3CDTF">2013-04-01T11:24:01Z</dcterms:modified>
  <cp:category/>
  <cp:version/>
  <cp:contentType/>
  <cp:contentStatus/>
</cp:coreProperties>
</file>