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5300" windowHeight="7944" activeTab="4"/>
  </bookViews>
  <sheets>
    <sheet name="Вурман-Cюктерка" sheetId="1" r:id="rId1"/>
    <sheet name="Сятракасы" sheetId="2" r:id="rId2"/>
    <sheet name="Синьялы" sheetId="3" r:id="rId3"/>
    <sheet name="Чиршкасы" sheetId="4" r:id="rId4"/>
    <sheet name="Кугеси" sheetId="5" r:id="rId5"/>
  </sheets>
  <definedNames/>
  <calcPr fullCalcOnLoad="1"/>
</workbook>
</file>

<file path=xl/sharedStrings.xml><?xml version="1.0" encoding="utf-8"?>
<sst xmlns="http://schemas.openxmlformats.org/spreadsheetml/2006/main" count="433" uniqueCount="82">
  <si>
    <t>% оплаты</t>
  </si>
  <si>
    <t>Советская</t>
  </si>
  <si>
    <t>К.Маркса</t>
  </si>
  <si>
    <t>Шоссейная</t>
  </si>
  <si>
    <t>в тч</t>
  </si>
  <si>
    <t>Адрес МКД</t>
  </si>
  <si>
    <t>улица</t>
  </si>
  <si>
    <t>№</t>
  </si>
  <si>
    <t>62а</t>
  </si>
  <si>
    <t xml:space="preserve">Советская </t>
  </si>
  <si>
    <t>15а</t>
  </si>
  <si>
    <t>17а</t>
  </si>
  <si>
    <t>57а</t>
  </si>
  <si>
    <t>59а</t>
  </si>
  <si>
    <t>86 /1</t>
  </si>
  <si>
    <t>Оплачено населением, (вкл. задолж-сть за 2010г.) руб.</t>
  </si>
  <si>
    <t>на 01.01.2012г., руб.</t>
  </si>
  <si>
    <t>просроченная руб.</t>
  </si>
  <si>
    <t>Первомайская</t>
  </si>
  <si>
    <t>11 /1</t>
  </si>
  <si>
    <t>15 /1</t>
  </si>
  <si>
    <t>64а</t>
  </si>
  <si>
    <t>2а</t>
  </si>
  <si>
    <t>25 / 1</t>
  </si>
  <si>
    <t>5а</t>
  </si>
  <si>
    <t>Н.Конституции</t>
  </si>
  <si>
    <t>1а</t>
  </si>
  <si>
    <t>1б</t>
  </si>
  <si>
    <t>1г</t>
  </si>
  <si>
    <t>7а</t>
  </si>
  <si>
    <t>4а</t>
  </si>
  <si>
    <t>Шоршелская</t>
  </si>
  <si>
    <t>Геологическая</t>
  </si>
  <si>
    <t>Лесная</t>
  </si>
  <si>
    <t>Тепличная</t>
  </si>
  <si>
    <t>Кутузова</t>
  </si>
  <si>
    <t>Садовая</t>
  </si>
  <si>
    <t>50лет СССР</t>
  </si>
  <si>
    <t>Механизаторов</t>
  </si>
  <si>
    <t>Мелиораторов</t>
  </si>
  <si>
    <t>30лет Победы</t>
  </si>
  <si>
    <t>Марпосадская</t>
  </si>
  <si>
    <t>12, 12а</t>
  </si>
  <si>
    <t>Строительная</t>
  </si>
  <si>
    <t xml:space="preserve">Калинина </t>
  </si>
  <si>
    <t>втч Недвижимость</t>
  </si>
  <si>
    <t xml:space="preserve">      Росгосстрах</t>
  </si>
  <si>
    <t xml:space="preserve">      УФК</t>
  </si>
  <si>
    <t>Население</t>
  </si>
  <si>
    <t>ИТОГО</t>
  </si>
  <si>
    <t>Задолженность населения  за жилищно-коммунальные услуги</t>
  </si>
  <si>
    <t>Нежилые помещения</t>
  </si>
  <si>
    <t xml:space="preserve">Сведения о доходах и расходах ООО "Жилкомцентр" за 2011год  от оказания услуг по управлению многоквартирными домами   </t>
  </si>
  <si>
    <t>Затраты управляющей компании, руб.</t>
  </si>
  <si>
    <t>Площадь МКД, м2</t>
  </si>
  <si>
    <t>Справочно</t>
  </si>
  <si>
    <t>Начислено населению за содержание и ремонт жилого помещения в 2011г., руб.</t>
  </si>
  <si>
    <t>Оплата подрядным предприятиям за содержание и ремонт жилья, руб.</t>
  </si>
  <si>
    <t>Затраты на содержание и ремонт жилья, руб.</t>
  </si>
  <si>
    <t>в том числе</t>
  </si>
  <si>
    <t xml:space="preserve">Техобслуживание газового оборудования </t>
  </si>
  <si>
    <t>Вывоз твердых бытовых отходов</t>
  </si>
  <si>
    <t>Дератизация подвальных помещений</t>
  </si>
  <si>
    <t>Содержание  и ремонт мест общего пользования</t>
  </si>
  <si>
    <t>ТО вентканалов и дымоходов</t>
  </si>
  <si>
    <t>1в</t>
  </si>
  <si>
    <r>
      <t xml:space="preserve">Оплата подрядным предприятиям за содержание и ремонт жилья, руб., </t>
    </r>
    <r>
      <rPr>
        <b/>
        <sz val="10"/>
        <rFont val="Arial Cyr"/>
        <family val="0"/>
      </rPr>
      <t>контрольная</t>
    </r>
  </si>
  <si>
    <t>Итоги 2011г. по МКД   Сирмапосинского с/поселение</t>
  </si>
  <si>
    <t>Восточная</t>
  </si>
  <si>
    <t xml:space="preserve">11 Пятилетки </t>
  </si>
  <si>
    <t>В/Сюктерское сельское поселение: п.Сюктерка, д.Вурманкасы</t>
  </si>
  <si>
    <t>Сирмапосинское сельское поселение : д.Чиршкасы</t>
  </si>
  <si>
    <t>Лапсарское сельское поселение: д.Сятракасы</t>
  </si>
  <si>
    <t>Кугесьское сельское поселение: п.Кугеси</t>
  </si>
  <si>
    <t xml:space="preserve">Вега </t>
  </si>
  <si>
    <t xml:space="preserve">Волга </t>
  </si>
  <si>
    <t>Волжские зори</t>
  </si>
  <si>
    <t>Главная</t>
  </si>
  <si>
    <t>Светская</t>
  </si>
  <si>
    <t>Центральная</t>
  </si>
  <si>
    <t>Синьяльское сельское поселение: с.Синьялы</t>
  </si>
  <si>
    <t>ИТОГИ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</si>
</sst>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0.0000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/>
    </xf>
    <xf numFmtId="1" fontId="0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8" fontId="0" fillId="2" borderId="1" xfId="0" applyNumberFormat="1" applyFill="1" applyBorder="1" applyAlignment="1">
      <alignment/>
    </xf>
    <xf numFmtId="1" fontId="5" fillId="0" borderId="1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0" fillId="0" borderId="9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68" fontId="0" fillId="0" borderId="1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2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" xfId="18" applyNumberForma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5" fillId="0" borderId="0" xfId="0" applyNumberFormat="1" applyFont="1" applyBorder="1" applyAlignment="1">
      <alignment horizontal="right"/>
    </xf>
    <xf numFmtId="168" fontId="0" fillId="0" borderId="0" xfId="0" applyNumberFormat="1" applyBorder="1" applyAlignment="1">
      <alignment/>
    </xf>
    <xf numFmtId="1" fontId="2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4">
      <selection activeCell="A5" sqref="A5:Q25"/>
    </sheetView>
  </sheetViews>
  <sheetFormatPr defaultColWidth="9.00390625" defaultRowHeight="12.75"/>
  <cols>
    <col min="7" max="7" width="9.50390625" style="0" bestFit="1" customWidth="1"/>
    <col min="9" max="9" width="18.75390625" style="0" customWidth="1"/>
    <col min="17" max="17" width="13.875" style="0" customWidth="1"/>
  </cols>
  <sheetData>
    <row r="1" spans="1:17" ht="12.75">
      <c r="A1" s="61" t="s">
        <v>5</v>
      </c>
      <c r="B1" s="62"/>
      <c r="C1" s="57" t="s">
        <v>54</v>
      </c>
      <c r="D1" s="57" t="s">
        <v>56</v>
      </c>
      <c r="E1" s="57" t="s">
        <v>15</v>
      </c>
      <c r="F1" s="57" t="s">
        <v>0</v>
      </c>
      <c r="G1" s="57" t="s">
        <v>58</v>
      </c>
      <c r="H1" s="57" t="s">
        <v>57</v>
      </c>
      <c r="I1" s="57" t="s">
        <v>66</v>
      </c>
      <c r="J1" s="55" t="s">
        <v>59</v>
      </c>
      <c r="K1" s="56"/>
      <c r="L1" s="56"/>
      <c r="M1" s="56"/>
      <c r="N1" s="56"/>
      <c r="O1" s="70"/>
      <c r="P1" s="53" t="s">
        <v>55</v>
      </c>
      <c r="Q1" s="54"/>
    </row>
    <row r="2" spans="1:17" ht="105">
      <c r="A2" s="68"/>
      <c r="B2" s="69"/>
      <c r="C2" s="65"/>
      <c r="D2" s="65"/>
      <c r="E2" s="65"/>
      <c r="F2" s="65"/>
      <c r="G2" s="65"/>
      <c r="H2" s="66"/>
      <c r="I2" s="66"/>
      <c r="J2" s="65" t="s">
        <v>61</v>
      </c>
      <c r="K2" s="65" t="s">
        <v>62</v>
      </c>
      <c r="L2" s="65" t="s">
        <v>60</v>
      </c>
      <c r="M2" s="65" t="s">
        <v>63</v>
      </c>
      <c r="N2" s="57" t="s">
        <v>64</v>
      </c>
      <c r="O2" s="57" t="s">
        <v>53</v>
      </c>
      <c r="P2" s="20" t="s">
        <v>50</v>
      </c>
      <c r="Q2" s="19" t="s">
        <v>4</v>
      </c>
    </row>
    <row r="3" spans="1:17" ht="39">
      <c r="A3" s="27" t="s">
        <v>6</v>
      </c>
      <c r="B3" s="27" t="s">
        <v>7</v>
      </c>
      <c r="C3" s="58"/>
      <c r="D3" s="58"/>
      <c r="E3" s="58"/>
      <c r="F3" s="58"/>
      <c r="G3" s="58"/>
      <c r="H3" s="67"/>
      <c r="I3" s="67"/>
      <c r="J3" s="58"/>
      <c r="K3" s="58"/>
      <c r="L3" s="58"/>
      <c r="M3" s="58"/>
      <c r="N3" s="58"/>
      <c r="O3" s="58"/>
      <c r="P3" s="22" t="s">
        <v>16</v>
      </c>
      <c r="Q3" s="21" t="s">
        <v>17</v>
      </c>
    </row>
    <row r="4" spans="1:17" ht="12.75">
      <c r="A4" s="33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/>
      <c r="I4" s="25"/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6">
        <v>15</v>
      </c>
    </row>
    <row r="5" spans="1:17" ht="12.75">
      <c r="A5" s="7" t="s">
        <v>77</v>
      </c>
      <c r="B5" s="7">
        <v>1</v>
      </c>
      <c r="C5" s="7">
        <v>3534.7</v>
      </c>
      <c r="D5" s="6">
        <v>361615.32</v>
      </c>
      <c r="E5" s="6">
        <v>356404.29</v>
      </c>
      <c r="F5" s="37">
        <f>E5*100/D5</f>
        <v>98.55895762380864</v>
      </c>
      <c r="G5" s="5">
        <f>J5+K5+L5+M5+N5+O5</f>
        <v>217467.94999999998</v>
      </c>
      <c r="H5" s="6">
        <v>139845.95</v>
      </c>
      <c r="I5" s="6">
        <f>SUM(J5:N5)</f>
        <v>139845.94999999998</v>
      </c>
      <c r="J5" s="6">
        <v>27547.54</v>
      </c>
      <c r="K5" s="6">
        <v>1657.6</v>
      </c>
      <c r="L5" s="6">
        <v>2473.94</v>
      </c>
      <c r="M5" s="6">
        <v>108166.87</v>
      </c>
      <c r="N5" s="9"/>
      <c r="O5" s="6">
        <v>77622</v>
      </c>
      <c r="P5" s="6">
        <v>164954.51</v>
      </c>
      <c r="Q5" s="72">
        <v>52660.7</v>
      </c>
    </row>
    <row r="6" spans="1:17" ht="12.75">
      <c r="A6" s="7"/>
      <c r="B6" s="7"/>
      <c r="C6" s="7"/>
      <c r="D6" s="6"/>
      <c r="E6" s="6"/>
      <c r="F6" s="37"/>
      <c r="G6" s="5"/>
      <c r="H6" s="6"/>
      <c r="I6" s="6"/>
      <c r="J6" s="6"/>
      <c r="K6" s="6"/>
      <c r="L6" s="6"/>
      <c r="M6" s="6"/>
      <c r="N6" s="9"/>
      <c r="O6" s="6"/>
      <c r="P6" s="6"/>
      <c r="Q6" s="38"/>
    </row>
    <row r="7" spans="1:17" ht="12.75">
      <c r="A7" s="7" t="s">
        <v>77</v>
      </c>
      <c r="B7" s="7">
        <v>2</v>
      </c>
      <c r="C7" s="7">
        <v>3260.1</v>
      </c>
      <c r="D7" s="6">
        <v>333682.92</v>
      </c>
      <c r="E7" s="6">
        <v>332843.22</v>
      </c>
      <c r="F7" s="37">
        <f>E7*100/D7</f>
        <v>99.74835391634669</v>
      </c>
      <c r="G7" s="5">
        <f aca="true" t="shared" si="0" ref="G6:G25">J7+K7+L7+M7+N7+O7</f>
        <v>211154.78</v>
      </c>
      <c r="H7" s="6">
        <v>139562.78</v>
      </c>
      <c r="I7" s="6">
        <f>SUM(J7:N7)</f>
        <v>139562.78</v>
      </c>
      <c r="J7" s="6">
        <v>25420.69</v>
      </c>
      <c r="K7" s="6">
        <v>1212.4</v>
      </c>
      <c r="L7" s="6">
        <v>2685.15</v>
      </c>
      <c r="M7" s="6">
        <v>110244.54</v>
      </c>
      <c r="N7" s="9"/>
      <c r="O7" s="6">
        <v>71592</v>
      </c>
      <c r="P7" s="6">
        <v>297021.25</v>
      </c>
      <c r="Q7" s="38">
        <v>199712.8</v>
      </c>
    </row>
    <row r="8" spans="1:17" ht="12.75">
      <c r="A8" s="7"/>
      <c r="B8" s="7"/>
      <c r="C8" s="7"/>
      <c r="D8" s="6"/>
      <c r="E8" s="6"/>
      <c r="F8" s="37"/>
      <c r="G8" s="5"/>
      <c r="H8" s="6"/>
      <c r="I8" s="6"/>
      <c r="J8" s="6"/>
      <c r="K8" s="6"/>
      <c r="L8" s="6"/>
      <c r="M8" s="6"/>
      <c r="N8" s="9"/>
      <c r="O8" s="6"/>
      <c r="P8" s="6"/>
      <c r="Q8" s="38"/>
    </row>
    <row r="9" spans="1:17" ht="12.75">
      <c r="A9" s="7" t="s">
        <v>77</v>
      </c>
      <c r="B9" s="7">
        <v>3</v>
      </c>
      <c r="C9" s="7">
        <v>4377.6</v>
      </c>
      <c r="D9" s="6">
        <v>447899.81</v>
      </c>
      <c r="E9" s="6">
        <v>453436.2</v>
      </c>
      <c r="F9" s="37">
        <f>E9*100/D9</f>
        <v>101.23607777373248</v>
      </c>
      <c r="G9" s="5">
        <f t="shared" si="0"/>
        <v>520075.26</v>
      </c>
      <c r="H9" s="6">
        <f>416962.26+2947+4034</f>
        <v>423943.26</v>
      </c>
      <c r="I9" s="6">
        <f>SUM(J9:N9)</f>
        <v>423943.26</v>
      </c>
      <c r="J9" s="6">
        <v>34125.59</v>
      </c>
      <c r="K9" s="6">
        <v>1600.2</v>
      </c>
      <c r="L9" s="6">
        <v>3161.26</v>
      </c>
      <c r="M9" s="6">
        <f>378075.21+6981</f>
        <v>385056.21</v>
      </c>
      <c r="N9" s="9"/>
      <c r="O9" s="6">
        <v>96132</v>
      </c>
      <c r="P9" s="6">
        <v>309988.61</v>
      </c>
      <c r="Q9" s="38">
        <v>145039.65</v>
      </c>
    </row>
    <row r="10" spans="1:17" ht="12.75">
      <c r="A10" s="7"/>
      <c r="B10" s="7"/>
      <c r="C10" s="7"/>
      <c r="D10" s="6"/>
      <c r="E10" s="6"/>
      <c r="F10" s="37"/>
      <c r="G10" s="5"/>
      <c r="H10" s="6"/>
      <c r="I10" s="6"/>
      <c r="J10" s="6"/>
      <c r="K10" s="6"/>
      <c r="L10" s="6"/>
      <c r="M10" s="6"/>
      <c r="N10" s="9"/>
      <c r="O10" s="6"/>
      <c r="P10" s="6"/>
      <c r="Q10" s="38"/>
    </row>
    <row r="11" spans="1:17" ht="12.75">
      <c r="A11" s="7" t="s">
        <v>77</v>
      </c>
      <c r="B11" s="7">
        <v>39</v>
      </c>
      <c r="C11" s="7">
        <v>100.4</v>
      </c>
      <c r="D11" s="6">
        <v>8865.12</v>
      </c>
      <c r="E11" s="6">
        <v>8571.16</v>
      </c>
      <c r="F11" s="37">
        <f>E11*100/D11</f>
        <v>96.68408323857996</v>
      </c>
      <c r="G11" s="5">
        <f t="shared" si="0"/>
        <v>2913.17</v>
      </c>
      <c r="H11" s="6">
        <v>1479.17</v>
      </c>
      <c r="I11" s="6">
        <f>SUM(J11:N11)</f>
        <v>1479.17</v>
      </c>
      <c r="J11" s="6">
        <v>789.14</v>
      </c>
      <c r="K11" s="6"/>
      <c r="L11" s="6"/>
      <c r="M11" s="6">
        <v>690.03</v>
      </c>
      <c r="N11" s="9"/>
      <c r="O11" s="6">
        <v>1434</v>
      </c>
      <c r="P11" s="6">
        <v>5746.34</v>
      </c>
      <c r="Q11" s="38">
        <v>1274.51</v>
      </c>
    </row>
    <row r="12" spans="1:17" ht="12.75">
      <c r="A12" s="7"/>
      <c r="B12" s="7"/>
      <c r="C12" s="7"/>
      <c r="D12" s="6"/>
      <c r="E12" s="6"/>
      <c r="F12" s="37"/>
      <c r="G12" s="5"/>
      <c r="H12" s="6"/>
      <c r="I12" s="6"/>
      <c r="J12" s="6"/>
      <c r="K12" s="6"/>
      <c r="L12" s="6"/>
      <c r="M12" s="6"/>
      <c r="N12" s="9"/>
      <c r="O12" s="6"/>
      <c r="P12" s="6"/>
      <c r="Q12" s="38"/>
    </row>
    <row r="13" spans="1:17" ht="12.75">
      <c r="A13" s="7" t="s">
        <v>77</v>
      </c>
      <c r="B13" s="7">
        <v>43</v>
      </c>
      <c r="C13" s="7">
        <v>605.7</v>
      </c>
      <c r="D13" s="6">
        <v>53103.12</v>
      </c>
      <c r="E13" s="6">
        <v>51067.38</v>
      </c>
      <c r="F13" s="37">
        <f>E13*100/D13</f>
        <v>96.16643993799234</v>
      </c>
      <c r="G13" s="5">
        <f t="shared" si="0"/>
        <v>50924.74</v>
      </c>
      <c r="H13" s="6">
        <f>40821.74</f>
        <v>40821.74</v>
      </c>
      <c r="I13" s="6">
        <f>SUM(J13:N13)</f>
        <v>40821.74</v>
      </c>
      <c r="J13" s="6">
        <v>4727.13</v>
      </c>
      <c r="K13" s="6"/>
      <c r="L13" s="6">
        <v>563.04</v>
      </c>
      <c r="M13" s="6">
        <v>35531.57</v>
      </c>
      <c r="N13" s="9"/>
      <c r="O13" s="6">
        <v>10103</v>
      </c>
      <c r="P13" s="6">
        <v>28963.32</v>
      </c>
      <c r="Q13" s="38">
        <v>5282.8</v>
      </c>
    </row>
    <row r="14" spans="1:17" ht="12.75">
      <c r="A14" s="7"/>
      <c r="B14" s="7"/>
      <c r="C14" s="7"/>
      <c r="D14" s="6"/>
      <c r="E14" s="6"/>
      <c r="F14" s="37"/>
      <c r="G14" s="5"/>
      <c r="H14" s="6"/>
      <c r="I14" s="6"/>
      <c r="J14" s="6"/>
      <c r="K14" s="6"/>
      <c r="L14" s="6"/>
      <c r="M14" s="6"/>
      <c r="N14" s="9"/>
      <c r="O14" s="6"/>
      <c r="P14" s="6"/>
      <c r="Q14" s="38"/>
    </row>
    <row r="15" spans="1:17" ht="12.75">
      <c r="A15" s="7" t="s">
        <v>77</v>
      </c>
      <c r="B15" s="7">
        <v>46</v>
      </c>
      <c r="C15" s="7">
        <v>1961.59</v>
      </c>
      <c r="D15" s="6">
        <v>200784.07</v>
      </c>
      <c r="E15" s="6">
        <v>191777.46</v>
      </c>
      <c r="F15" s="37">
        <f>E15*100/D15</f>
        <v>95.51428059008865</v>
      </c>
      <c r="G15" s="5">
        <f t="shared" si="0"/>
        <v>135408.94</v>
      </c>
      <c r="H15" s="6">
        <f>92331.94</f>
        <v>92331.94</v>
      </c>
      <c r="I15" s="6">
        <f>SUM(J15:N15)</f>
        <v>92331.94</v>
      </c>
      <c r="J15" s="6">
        <v>15294.12</v>
      </c>
      <c r="K15" s="6">
        <v>1226.4</v>
      </c>
      <c r="L15" s="6">
        <v>1656.26</v>
      </c>
      <c r="M15" s="6">
        <v>74155.16</v>
      </c>
      <c r="N15" s="9"/>
      <c r="O15" s="6">
        <v>43077</v>
      </c>
      <c r="P15" s="6">
        <v>155593.12</v>
      </c>
      <c r="Q15" s="38">
        <v>82547.64</v>
      </c>
    </row>
    <row r="16" spans="1:17" ht="12.75">
      <c r="A16" s="7"/>
      <c r="B16" s="7"/>
      <c r="C16" s="7"/>
      <c r="D16" s="6"/>
      <c r="E16" s="6"/>
      <c r="F16" s="37"/>
      <c r="G16" s="5"/>
      <c r="H16" s="6"/>
      <c r="I16" s="6"/>
      <c r="J16" s="6"/>
      <c r="K16" s="6"/>
      <c r="L16" s="6"/>
      <c r="M16" s="6"/>
      <c r="N16" s="9"/>
      <c r="O16" s="6"/>
      <c r="P16" s="6"/>
      <c r="Q16" s="38"/>
    </row>
    <row r="17" spans="1:17" ht="12.75">
      <c r="A17" s="7" t="s">
        <v>76</v>
      </c>
      <c r="B17" s="7" t="s">
        <v>26</v>
      </c>
      <c r="C17" s="7">
        <v>972.4</v>
      </c>
      <c r="D17" s="6">
        <v>110351.9</v>
      </c>
      <c r="E17" s="6">
        <v>104685.81</v>
      </c>
      <c r="F17" s="37">
        <f>E17*100/D17</f>
        <v>94.86543503102348</v>
      </c>
      <c r="G17" s="5">
        <f t="shared" si="0"/>
        <v>84766.14</v>
      </c>
      <c r="H17" s="6">
        <v>60612.14</v>
      </c>
      <c r="I17" s="6">
        <f>SUM(J17:N17)</f>
        <v>60612.14</v>
      </c>
      <c r="J17" s="6">
        <v>7639.87</v>
      </c>
      <c r="K17" s="6">
        <v>996.8</v>
      </c>
      <c r="L17" s="6">
        <v>841.5</v>
      </c>
      <c r="M17" s="6">
        <v>51133.97</v>
      </c>
      <c r="N17" s="9"/>
      <c r="O17" s="6">
        <v>24154</v>
      </c>
      <c r="P17" s="6">
        <v>80583.87</v>
      </c>
      <c r="Q17" s="47">
        <v>34796.54</v>
      </c>
    </row>
    <row r="18" spans="1:17" ht="12.75">
      <c r="A18" s="7"/>
      <c r="B18" s="7"/>
      <c r="C18" s="7"/>
      <c r="D18" s="6"/>
      <c r="E18" s="6"/>
      <c r="F18" s="37"/>
      <c r="G18" s="5"/>
      <c r="H18" s="6"/>
      <c r="I18" s="6"/>
      <c r="J18" s="6"/>
      <c r="K18" s="6"/>
      <c r="L18" s="6"/>
      <c r="M18" s="6"/>
      <c r="N18" s="9"/>
      <c r="O18" s="6"/>
      <c r="P18" s="6"/>
      <c r="Q18" s="73"/>
    </row>
    <row r="19" spans="1:17" ht="12.75">
      <c r="A19" s="7" t="s">
        <v>76</v>
      </c>
      <c r="B19" s="7" t="s">
        <v>27</v>
      </c>
      <c r="C19" s="7">
        <v>879.8</v>
      </c>
      <c r="D19" s="6">
        <v>101036.64</v>
      </c>
      <c r="E19" s="6">
        <v>135824.27</v>
      </c>
      <c r="F19" s="37">
        <f>E19*100/D19</f>
        <v>134.4307075136307</v>
      </c>
      <c r="G19" s="5">
        <f t="shared" si="0"/>
        <v>70601.56</v>
      </c>
      <c r="H19" s="6">
        <f>48747.56</f>
        <v>48747.56</v>
      </c>
      <c r="I19" s="6">
        <f>SUM(J19:N19)</f>
        <v>48747.560000000005</v>
      </c>
      <c r="J19" s="6">
        <v>6918.76</v>
      </c>
      <c r="K19" s="6"/>
      <c r="L19" s="6">
        <v>749.47</v>
      </c>
      <c r="M19" s="6">
        <v>41079.33</v>
      </c>
      <c r="N19" s="9"/>
      <c r="O19" s="6">
        <v>21854</v>
      </c>
      <c r="P19" s="6">
        <v>141982.5</v>
      </c>
      <c r="Q19" s="47">
        <v>132496.61</v>
      </c>
    </row>
    <row r="20" spans="1:17" ht="12.75">
      <c r="A20" s="7"/>
      <c r="B20" s="7"/>
      <c r="C20" s="7"/>
      <c r="D20" s="6"/>
      <c r="E20" s="6"/>
      <c r="F20" s="37"/>
      <c r="G20" s="5"/>
      <c r="H20" s="6"/>
      <c r="I20" s="6"/>
      <c r="J20" s="6"/>
      <c r="K20" s="6"/>
      <c r="L20" s="6"/>
      <c r="M20" s="6"/>
      <c r="N20" s="9"/>
      <c r="O20" s="6"/>
      <c r="P20" s="6"/>
      <c r="Q20" s="73"/>
    </row>
    <row r="21" spans="1:17" ht="12.75">
      <c r="A21" s="7" t="s">
        <v>75</v>
      </c>
      <c r="B21" s="7">
        <v>1</v>
      </c>
      <c r="C21" s="7">
        <v>787.9</v>
      </c>
      <c r="D21" s="6">
        <v>61441.9</v>
      </c>
      <c r="E21" s="6">
        <v>53575.13</v>
      </c>
      <c r="F21" s="37">
        <f>E21*100/D21</f>
        <v>87.196408314196</v>
      </c>
      <c r="G21" s="5">
        <f t="shared" si="0"/>
        <v>39694.07</v>
      </c>
      <c r="H21" s="6">
        <f>20123.11</f>
        <v>20123.11</v>
      </c>
      <c r="I21" s="6">
        <f>SUM(J21:N21)</f>
        <v>20123.07</v>
      </c>
      <c r="J21" s="6">
        <v>1445.8</v>
      </c>
      <c r="K21" s="6"/>
      <c r="L21" s="6">
        <v>901</v>
      </c>
      <c r="M21" s="6">
        <v>17776.27</v>
      </c>
      <c r="N21" s="9"/>
      <c r="O21" s="6">
        <v>19571</v>
      </c>
      <c r="P21" s="6">
        <v>72293.63</v>
      </c>
      <c r="Q21" s="47">
        <v>40097.93</v>
      </c>
    </row>
    <row r="22" spans="1:17" ht="12.75">
      <c r="A22" s="7"/>
      <c r="B22" s="7"/>
      <c r="C22" s="7"/>
      <c r="D22" s="6"/>
      <c r="E22" s="6"/>
      <c r="F22" s="37"/>
      <c r="G22" s="5"/>
      <c r="H22" s="6"/>
      <c r="I22" s="6"/>
      <c r="J22" s="6"/>
      <c r="K22" s="6"/>
      <c r="L22" s="6"/>
      <c r="M22" s="6"/>
      <c r="N22" s="9"/>
      <c r="O22" s="6"/>
      <c r="P22" s="6"/>
      <c r="Q22" s="73"/>
    </row>
    <row r="23" spans="1:17" ht="12.75">
      <c r="A23" s="7" t="s">
        <v>74</v>
      </c>
      <c r="B23" s="7">
        <v>1</v>
      </c>
      <c r="C23" s="7">
        <v>377.5</v>
      </c>
      <c r="D23" s="6">
        <v>33385.92</v>
      </c>
      <c r="E23" s="6">
        <v>37110.77</v>
      </c>
      <c r="F23" s="37">
        <f>E23*100/D23</f>
        <v>111.15694879757693</v>
      </c>
      <c r="G23" s="5">
        <f t="shared" si="0"/>
        <v>18127.91</v>
      </c>
      <c r="H23" s="6">
        <v>8750.91</v>
      </c>
      <c r="I23" s="6">
        <f>SUM(J23:N23)</f>
        <v>8750.91</v>
      </c>
      <c r="J23" s="6">
        <v>2991.33</v>
      </c>
      <c r="K23" s="6"/>
      <c r="L23" s="6"/>
      <c r="M23" s="6">
        <v>5759.58</v>
      </c>
      <c r="N23" s="9"/>
      <c r="O23" s="6">
        <v>9377</v>
      </c>
      <c r="P23" s="6">
        <v>34556.21</v>
      </c>
      <c r="Q23" s="47">
        <v>30567.75</v>
      </c>
    </row>
    <row r="24" spans="1:17" ht="12.75">
      <c r="A24" s="7"/>
      <c r="B24" s="7"/>
      <c r="C24" s="7"/>
      <c r="D24" s="6"/>
      <c r="E24" s="6"/>
      <c r="F24" s="37"/>
      <c r="G24" s="5"/>
      <c r="H24" s="6"/>
      <c r="I24" s="6"/>
      <c r="J24" s="6"/>
      <c r="K24" s="6"/>
      <c r="L24" s="6"/>
      <c r="M24" s="6"/>
      <c r="N24" s="9"/>
      <c r="O24" s="6"/>
      <c r="P24" s="6"/>
      <c r="Q24" s="73"/>
    </row>
    <row r="25" spans="1:17" ht="12.75">
      <c r="A25" s="7" t="s">
        <v>74</v>
      </c>
      <c r="B25" s="7">
        <v>2</v>
      </c>
      <c r="C25" s="7">
        <v>376.2</v>
      </c>
      <c r="D25" s="6">
        <v>33181.08</v>
      </c>
      <c r="E25" s="6">
        <v>36093.69</v>
      </c>
      <c r="F25" s="37">
        <f>E25*100/D25</f>
        <v>108.77792404587191</v>
      </c>
      <c r="G25" s="5">
        <f t="shared" si="0"/>
        <v>18056.7</v>
      </c>
      <c r="H25" s="6">
        <v>8711.7</v>
      </c>
      <c r="I25" s="6">
        <f>SUM(J25:N25)</f>
        <v>8711.7</v>
      </c>
      <c r="J25" s="6">
        <v>2981</v>
      </c>
      <c r="K25" s="6"/>
      <c r="L25" s="6"/>
      <c r="M25" s="6">
        <v>5730.7</v>
      </c>
      <c r="N25" s="9"/>
      <c r="O25" s="6">
        <v>9345</v>
      </c>
      <c r="P25" s="6">
        <v>28734.64</v>
      </c>
      <c r="Q25" s="47">
        <v>25456.18</v>
      </c>
    </row>
  </sheetData>
  <mergeCells count="16">
    <mergeCell ref="P1:Q1"/>
    <mergeCell ref="J2:J3"/>
    <mergeCell ref="K2:K3"/>
    <mergeCell ref="L2:L3"/>
    <mergeCell ref="M2:M3"/>
    <mergeCell ref="N2:N3"/>
    <mergeCell ref="O2:O3"/>
    <mergeCell ref="A1:B2"/>
    <mergeCell ref="C1:C3"/>
    <mergeCell ref="D1:D3"/>
    <mergeCell ref="E1:E3"/>
    <mergeCell ref="F1:F3"/>
    <mergeCell ref="G1:G3"/>
    <mergeCell ref="H1:H3"/>
    <mergeCell ref="I1:I3"/>
    <mergeCell ref="J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D15" sqref="D15"/>
    </sheetView>
  </sheetViews>
  <sheetFormatPr defaultColWidth="9.00390625" defaultRowHeight="12.75"/>
  <cols>
    <col min="1" max="1" width="14.50390625" style="0" customWidth="1"/>
    <col min="7" max="7" width="13.00390625" style="0" customWidth="1"/>
    <col min="8" max="8" width="11.00390625" style="0" hidden="1" customWidth="1"/>
    <col min="9" max="9" width="11.50390625" style="0" hidden="1" customWidth="1"/>
    <col min="17" max="17" width="10.75390625" style="0" customWidth="1"/>
  </cols>
  <sheetData>
    <row r="1" spans="1:15" ht="12.7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7" ht="12.75" customHeight="1">
      <c r="A2" s="61" t="s">
        <v>5</v>
      </c>
      <c r="B2" s="62"/>
      <c r="C2" s="57" t="s">
        <v>54</v>
      </c>
      <c r="D2" s="57" t="s">
        <v>56</v>
      </c>
      <c r="E2" s="57" t="s">
        <v>15</v>
      </c>
      <c r="F2" s="57" t="s">
        <v>0</v>
      </c>
      <c r="G2" s="57" t="s">
        <v>58</v>
      </c>
      <c r="H2" s="57" t="s">
        <v>57</v>
      </c>
      <c r="I2" s="57" t="s">
        <v>66</v>
      </c>
      <c r="J2" s="55" t="s">
        <v>59</v>
      </c>
      <c r="K2" s="56"/>
      <c r="L2" s="56"/>
      <c r="M2" s="56"/>
      <c r="N2" s="56"/>
      <c r="O2" s="56"/>
      <c r="P2" s="53" t="s">
        <v>55</v>
      </c>
      <c r="Q2" s="54"/>
    </row>
    <row r="3" spans="1:17" ht="105" customHeight="1">
      <c r="A3" s="63"/>
      <c r="B3" s="64"/>
      <c r="C3" s="65"/>
      <c r="D3" s="65"/>
      <c r="E3" s="65"/>
      <c r="F3" s="65"/>
      <c r="G3" s="65"/>
      <c r="H3" s="66"/>
      <c r="I3" s="66"/>
      <c r="J3" s="57" t="s">
        <v>61</v>
      </c>
      <c r="K3" s="57" t="s">
        <v>62</v>
      </c>
      <c r="L3" s="57" t="s">
        <v>60</v>
      </c>
      <c r="M3" s="57" t="s">
        <v>63</v>
      </c>
      <c r="N3" s="57" t="s">
        <v>64</v>
      </c>
      <c r="O3" s="57" t="s">
        <v>53</v>
      </c>
      <c r="P3" s="20" t="s">
        <v>50</v>
      </c>
      <c r="Q3" s="19" t="s">
        <v>4</v>
      </c>
    </row>
    <row r="4" spans="1:17" ht="39" customHeight="1">
      <c r="A4" s="27" t="s">
        <v>6</v>
      </c>
      <c r="B4" s="27" t="s">
        <v>7</v>
      </c>
      <c r="C4" s="58"/>
      <c r="D4" s="58"/>
      <c r="E4" s="58"/>
      <c r="F4" s="58"/>
      <c r="G4" s="58"/>
      <c r="H4" s="67"/>
      <c r="I4" s="67"/>
      <c r="J4" s="58"/>
      <c r="K4" s="58"/>
      <c r="L4" s="58"/>
      <c r="M4" s="58"/>
      <c r="N4" s="58"/>
      <c r="O4" s="58"/>
      <c r="P4" s="22" t="s">
        <v>16</v>
      </c>
      <c r="Q4" s="21" t="s">
        <v>17</v>
      </c>
    </row>
    <row r="5" spans="1:17" ht="39" customHeight="1">
      <c r="A5" s="27">
        <v>1</v>
      </c>
      <c r="B5" s="27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42"/>
      <c r="I5" s="42"/>
      <c r="J5" s="21">
        <v>8</v>
      </c>
      <c r="K5" s="21">
        <v>9</v>
      </c>
      <c r="L5" s="22">
        <v>10</v>
      </c>
      <c r="M5" s="22">
        <v>11</v>
      </c>
      <c r="N5" s="22">
        <v>12</v>
      </c>
      <c r="O5" s="22">
        <v>13</v>
      </c>
      <c r="P5" s="22">
        <v>14</v>
      </c>
      <c r="Q5" s="21">
        <v>15</v>
      </c>
    </row>
    <row r="6" spans="1:17" ht="12.75">
      <c r="A6" s="1" t="s">
        <v>68</v>
      </c>
      <c r="B6" s="1">
        <v>1</v>
      </c>
      <c r="C6" s="1">
        <v>1313.6</v>
      </c>
      <c r="D6" s="39">
        <v>108729.13</v>
      </c>
      <c r="E6" s="39">
        <v>104288.11</v>
      </c>
      <c r="F6" s="40">
        <f>E6*100/D6</f>
        <v>95.91551960362416</v>
      </c>
      <c r="G6" s="40">
        <f>J6+K6+L6+M6+N6+O6</f>
        <v>88214.95000000001</v>
      </c>
      <c r="H6" s="5">
        <f>I6</f>
        <v>64412.950000000004</v>
      </c>
      <c r="I6" s="5">
        <f>J6+K6+L6+M6+N6</f>
        <v>64412.950000000004</v>
      </c>
      <c r="J6" s="5">
        <v>10392.73</v>
      </c>
      <c r="K6" s="5">
        <v>792.4</v>
      </c>
      <c r="L6" s="45">
        <v>1095.2</v>
      </c>
      <c r="M6" s="45">
        <f>31678.2+20108.9+345.52</f>
        <v>52132.62</v>
      </c>
      <c r="N6" s="45">
        <v>0</v>
      </c>
      <c r="O6" s="45">
        <v>23802</v>
      </c>
      <c r="P6" s="46">
        <v>94040.49</v>
      </c>
      <c r="Q6" s="47">
        <v>43616.67</v>
      </c>
    </row>
    <row r="7" spans="1:17" ht="12.75">
      <c r="A7" s="1" t="s">
        <v>68</v>
      </c>
      <c r="B7" s="1">
        <v>2</v>
      </c>
      <c r="C7" s="1">
        <v>1302.8</v>
      </c>
      <c r="D7" s="4">
        <v>118816.52</v>
      </c>
      <c r="E7" s="39">
        <v>117113.18</v>
      </c>
      <c r="F7" s="40">
        <f>E7*100/D7</f>
        <v>98.56641147207476</v>
      </c>
      <c r="G7" s="40">
        <f>J7+K7+L7+M7+N7+O7</f>
        <v>85519.76</v>
      </c>
      <c r="H7" s="5">
        <f>I7</f>
        <v>61912.759999999995</v>
      </c>
      <c r="I7" s="5">
        <f>J7+K7+L7+M7+N7</f>
        <v>61912.759999999995</v>
      </c>
      <c r="J7">
        <v>10331.24</v>
      </c>
      <c r="K7" s="5">
        <v>792.4</v>
      </c>
      <c r="L7" s="45">
        <v>1102.66</v>
      </c>
      <c r="M7" s="45">
        <f>20116.93+29224.02+345.51</f>
        <v>49686.46</v>
      </c>
      <c r="N7" s="45"/>
      <c r="O7" s="45">
        <v>23607</v>
      </c>
      <c r="P7" s="46">
        <v>96775.97</v>
      </c>
      <c r="Q7" s="47">
        <v>38364.64</v>
      </c>
    </row>
    <row r="8" spans="1:17" ht="12.75">
      <c r="A8" s="1" t="s">
        <v>68</v>
      </c>
      <c r="B8" s="1">
        <v>3</v>
      </c>
      <c r="C8" s="1">
        <v>1290.9</v>
      </c>
      <c r="D8" s="39">
        <v>117178.43</v>
      </c>
      <c r="E8" s="39">
        <v>108313.99</v>
      </c>
      <c r="F8" s="40">
        <f>E8*100/D8</f>
        <v>92.43509236298866</v>
      </c>
      <c r="G8" s="40">
        <f>J8+K8+L8+M8+N8+O8</f>
        <v>85050.73999999999</v>
      </c>
      <c r="H8" s="5">
        <f>I8</f>
        <v>61659.73999999999</v>
      </c>
      <c r="I8" s="5">
        <f>J8+K8+L8+M8+N8</f>
        <v>61659.73999999999</v>
      </c>
      <c r="J8" s="5">
        <v>10236.71</v>
      </c>
      <c r="K8" s="5">
        <v>792.4</v>
      </c>
      <c r="L8" s="45">
        <v>1095.2</v>
      </c>
      <c r="M8" s="45">
        <f>29069.73+345.51+20120.19</f>
        <v>49535.42999999999</v>
      </c>
      <c r="N8" s="45"/>
      <c r="O8" s="45">
        <v>23391</v>
      </c>
      <c r="P8" s="46">
        <v>200676.49</v>
      </c>
      <c r="Q8" s="47">
        <v>124904.35</v>
      </c>
    </row>
  </sheetData>
  <mergeCells count="17">
    <mergeCell ref="A1:O1"/>
    <mergeCell ref="A2:B3"/>
    <mergeCell ref="C2:C4"/>
    <mergeCell ref="D2:D4"/>
    <mergeCell ref="E2:E4"/>
    <mergeCell ref="F2:F4"/>
    <mergeCell ref="G2:G4"/>
    <mergeCell ref="H2:H4"/>
    <mergeCell ref="I2:I4"/>
    <mergeCell ref="P2:Q2"/>
    <mergeCell ref="J2:O2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2" sqref="A2:Q18"/>
    </sheetView>
  </sheetViews>
  <sheetFormatPr defaultColWidth="9.00390625" defaultRowHeight="12.75"/>
  <cols>
    <col min="9" max="9" width="19.125" style="0" customWidth="1"/>
  </cols>
  <sheetData>
    <row r="1" spans="1:17" ht="12.7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>
      <c r="A2" s="61" t="s">
        <v>5</v>
      </c>
      <c r="B2" s="62"/>
      <c r="C2" s="57" t="s">
        <v>54</v>
      </c>
      <c r="D2" s="57" t="s">
        <v>56</v>
      </c>
      <c r="E2" s="57" t="s">
        <v>15</v>
      </c>
      <c r="F2" s="57" t="s">
        <v>0</v>
      </c>
      <c r="G2" s="57" t="s">
        <v>58</v>
      </c>
      <c r="H2" s="57" t="s">
        <v>57</v>
      </c>
      <c r="I2" s="57" t="s">
        <v>66</v>
      </c>
      <c r="J2" s="55" t="s">
        <v>59</v>
      </c>
      <c r="K2" s="56"/>
      <c r="L2" s="56"/>
      <c r="M2" s="56"/>
      <c r="N2" s="56"/>
      <c r="O2" s="70"/>
      <c r="P2" s="53" t="s">
        <v>55</v>
      </c>
      <c r="Q2" s="54"/>
    </row>
    <row r="3" spans="1:17" ht="105">
      <c r="A3" s="68"/>
      <c r="B3" s="69"/>
      <c r="C3" s="65"/>
      <c r="D3" s="65"/>
      <c r="E3" s="65"/>
      <c r="F3" s="65"/>
      <c r="G3" s="65"/>
      <c r="H3" s="66"/>
      <c r="I3" s="66"/>
      <c r="J3" s="65" t="s">
        <v>61</v>
      </c>
      <c r="K3" s="65" t="s">
        <v>62</v>
      </c>
      <c r="L3" s="65" t="s">
        <v>60</v>
      </c>
      <c r="M3" s="65" t="s">
        <v>63</v>
      </c>
      <c r="N3" s="57" t="s">
        <v>64</v>
      </c>
      <c r="O3" s="57" t="s">
        <v>53</v>
      </c>
      <c r="P3" s="20" t="s">
        <v>50</v>
      </c>
      <c r="Q3" s="19" t="s">
        <v>4</v>
      </c>
    </row>
    <row r="4" spans="1:17" ht="39">
      <c r="A4" s="27" t="s">
        <v>6</v>
      </c>
      <c r="B4" s="27" t="s">
        <v>7</v>
      </c>
      <c r="C4" s="58"/>
      <c r="D4" s="58"/>
      <c r="E4" s="58"/>
      <c r="F4" s="58"/>
      <c r="G4" s="58"/>
      <c r="H4" s="67"/>
      <c r="I4" s="67"/>
      <c r="J4" s="58"/>
      <c r="K4" s="58"/>
      <c r="L4" s="58"/>
      <c r="M4" s="58"/>
      <c r="N4" s="58"/>
      <c r="O4" s="58"/>
      <c r="P4" s="22" t="s">
        <v>16</v>
      </c>
      <c r="Q4" s="21" t="s">
        <v>17</v>
      </c>
    </row>
    <row r="5" spans="1:17" ht="12.75">
      <c r="A5" s="3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/>
      <c r="I5" s="25"/>
      <c r="J5" s="25">
        <v>8</v>
      </c>
      <c r="K5" s="25">
        <v>9</v>
      </c>
      <c r="L5" s="25">
        <v>10</v>
      </c>
      <c r="M5" s="25">
        <v>11</v>
      </c>
      <c r="N5" s="25">
        <v>12</v>
      </c>
      <c r="O5" s="25">
        <v>13</v>
      </c>
      <c r="P5" s="25">
        <v>14</v>
      </c>
      <c r="Q5" s="26">
        <v>15</v>
      </c>
    </row>
    <row r="6" spans="1:17" ht="12.75">
      <c r="A6" s="7" t="s">
        <v>79</v>
      </c>
      <c r="B6" s="7">
        <v>1</v>
      </c>
      <c r="C6" s="7">
        <v>705.3</v>
      </c>
      <c r="D6" s="6">
        <v>64582.02</v>
      </c>
      <c r="E6" s="6">
        <v>61170.63</v>
      </c>
      <c r="F6" s="37">
        <f>E6*100/D6</f>
        <v>94.71774032462906</v>
      </c>
      <c r="G6" s="5">
        <f>J6+K6+L6+M6+N6+O6</f>
        <v>63374.67</v>
      </c>
      <c r="H6" s="6">
        <f>51895.67</f>
        <v>51895.67</v>
      </c>
      <c r="I6" s="6">
        <f>SUM(J6:N6)</f>
        <v>51895.67</v>
      </c>
      <c r="J6" s="6">
        <v>7667.03</v>
      </c>
      <c r="K6" s="6"/>
      <c r="L6" s="6">
        <v>568.03</v>
      </c>
      <c r="M6" s="6">
        <v>43660.61</v>
      </c>
      <c r="N6" s="6"/>
      <c r="O6" s="6">
        <v>11479</v>
      </c>
      <c r="P6" s="13">
        <v>146187.77</v>
      </c>
      <c r="Q6" s="7">
        <v>88075.68</v>
      </c>
    </row>
    <row r="7" spans="1:17" ht="12.75">
      <c r="A7" s="7"/>
      <c r="B7" s="7"/>
      <c r="C7" s="7"/>
      <c r="D7" s="6"/>
      <c r="E7" s="6"/>
      <c r="F7" s="37"/>
      <c r="G7" s="5"/>
      <c r="H7" s="6"/>
      <c r="I7" s="6"/>
      <c r="J7" s="6"/>
      <c r="K7" s="6"/>
      <c r="L7" s="6"/>
      <c r="M7" s="6"/>
      <c r="N7" s="6"/>
      <c r="O7" s="6"/>
      <c r="P7" s="6"/>
      <c r="Q7" s="7"/>
    </row>
    <row r="8" spans="1:17" ht="12.75">
      <c r="A8" s="7" t="s">
        <v>79</v>
      </c>
      <c r="B8" s="7">
        <v>2</v>
      </c>
      <c r="C8" s="7">
        <v>716.3</v>
      </c>
      <c r="D8" s="6">
        <v>65762.03</v>
      </c>
      <c r="E8" s="6">
        <v>74823.73</v>
      </c>
      <c r="F8" s="37">
        <f>E8*100/D8</f>
        <v>113.7795320491171</v>
      </c>
      <c r="G8" s="5">
        <f aca="true" t="shared" si="0" ref="G7:G18">J8+K8+L8+M8+N8+O8</f>
        <v>49567.03</v>
      </c>
      <c r="H8" s="6">
        <v>37799.03</v>
      </c>
      <c r="I8" s="6">
        <f aca="true" t="shared" si="1" ref="I7:I18">SUM(J8:N8)</f>
        <v>37799.03</v>
      </c>
      <c r="J8" s="6">
        <v>7859.87</v>
      </c>
      <c r="K8" s="6"/>
      <c r="L8" s="6">
        <v>568.03</v>
      </c>
      <c r="M8" s="6">
        <v>29371.13</v>
      </c>
      <c r="N8" s="6"/>
      <c r="O8" s="6">
        <v>11768</v>
      </c>
      <c r="P8" s="6">
        <v>57680.11</v>
      </c>
      <c r="Q8" s="7">
        <v>25185.49</v>
      </c>
    </row>
    <row r="9" spans="1:17" ht="12.75">
      <c r="A9" s="7"/>
      <c r="B9" s="7"/>
      <c r="C9" s="7"/>
      <c r="D9" s="6"/>
      <c r="E9" s="6"/>
      <c r="F9" s="37"/>
      <c r="G9" s="5"/>
      <c r="H9" s="6"/>
      <c r="I9" s="6"/>
      <c r="J9" s="6"/>
      <c r="K9" s="6"/>
      <c r="L9" s="6"/>
      <c r="M9" s="6"/>
      <c r="N9" s="6"/>
      <c r="O9" s="6"/>
      <c r="Q9" s="7"/>
    </row>
    <row r="10" spans="1:17" ht="12.75">
      <c r="A10" s="7" t="s">
        <v>79</v>
      </c>
      <c r="B10" s="7">
        <v>3</v>
      </c>
      <c r="C10" s="7">
        <v>712.6</v>
      </c>
      <c r="D10" s="6">
        <v>65299.19</v>
      </c>
      <c r="E10" s="6">
        <v>71310.28</v>
      </c>
      <c r="F10" s="37">
        <f>E10*100/D10</f>
        <v>109.20545875071345</v>
      </c>
      <c r="G10" s="5">
        <f t="shared" si="0"/>
        <v>60027.79</v>
      </c>
      <c r="H10" s="6">
        <f>48420.79</f>
        <v>48420.79</v>
      </c>
      <c r="I10" s="6">
        <f t="shared" si="1"/>
        <v>48420.79</v>
      </c>
      <c r="J10" s="6">
        <v>7752.21</v>
      </c>
      <c r="K10" s="6"/>
      <c r="L10" s="6">
        <v>568.03</v>
      </c>
      <c r="M10" s="6">
        <v>40100.55</v>
      </c>
      <c r="N10" s="6"/>
      <c r="O10" s="6">
        <v>11607</v>
      </c>
      <c r="P10" s="13">
        <v>14803.22</v>
      </c>
      <c r="Q10" s="7">
        <v>5439.69</v>
      </c>
    </row>
    <row r="11" spans="1:17" ht="12.75">
      <c r="A11" s="7"/>
      <c r="B11" s="7"/>
      <c r="C11" s="7"/>
      <c r="D11" s="6"/>
      <c r="E11" s="6"/>
      <c r="F11" s="37"/>
      <c r="G11" s="5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12.75">
      <c r="A12" s="7" t="s">
        <v>79</v>
      </c>
      <c r="B12" s="7">
        <v>29</v>
      </c>
      <c r="C12" s="7">
        <v>834.9</v>
      </c>
      <c r="D12" s="6">
        <v>117115.78</v>
      </c>
      <c r="E12" s="6">
        <v>111094.6</v>
      </c>
      <c r="F12" s="37">
        <f>E12*100/D12</f>
        <v>94.85877991847042</v>
      </c>
      <c r="G12" s="5">
        <f t="shared" si="0"/>
        <v>74336.26000000001</v>
      </c>
      <c r="H12" s="6">
        <f>50740.26</f>
        <v>50740.26</v>
      </c>
      <c r="I12" s="6">
        <f t="shared" si="1"/>
        <v>50740.26</v>
      </c>
      <c r="J12" s="6">
        <v>9602.01</v>
      </c>
      <c r="K12" s="6"/>
      <c r="L12" s="6">
        <v>693.38</v>
      </c>
      <c r="M12" s="6">
        <v>40444.87</v>
      </c>
      <c r="N12" s="6"/>
      <c r="O12" s="6">
        <v>23596</v>
      </c>
      <c r="P12" s="13">
        <v>74587.97</v>
      </c>
      <c r="Q12" s="7">
        <v>27535.53</v>
      </c>
    </row>
    <row r="13" spans="1:17" ht="12.75">
      <c r="A13" s="7"/>
      <c r="B13" s="7"/>
      <c r="C13" s="7"/>
      <c r="D13" s="6"/>
      <c r="E13" s="6"/>
      <c r="F13" s="37"/>
      <c r="G13" s="5"/>
      <c r="H13" s="6"/>
      <c r="I13" s="6"/>
      <c r="J13" s="6"/>
      <c r="K13" s="6"/>
      <c r="L13" s="6"/>
      <c r="M13" s="6"/>
      <c r="N13" s="6"/>
      <c r="O13" s="6"/>
      <c r="P13" s="13"/>
      <c r="Q13" s="7"/>
    </row>
    <row r="14" spans="1:17" ht="12.75">
      <c r="A14" s="7" t="s">
        <v>79</v>
      </c>
      <c r="B14" s="7">
        <v>40</v>
      </c>
      <c r="C14" s="7">
        <v>2023</v>
      </c>
      <c r="D14" s="6">
        <v>246280.18</v>
      </c>
      <c r="E14" s="6">
        <v>247584.34</v>
      </c>
      <c r="F14" s="37">
        <f>E14*100/D14</f>
        <v>100.52954322187031</v>
      </c>
      <c r="G14" s="5">
        <f t="shared" si="0"/>
        <v>219860.21</v>
      </c>
      <c r="H14" s="6">
        <f>170822.21</f>
        <v>170822.21</v>
      </c>
      <c r="I14" s="6">
        <f t="shared" si="1"/>
        <v>170822.21</v>
      </c>
      <c r="J14" s="6">
        <v>21888.86</v>
      </c>
      <c r="K14" s="6">
        <v>1335.6</v>
      </c>
      <c r="L14" s="6">
        <v>1688.01</v>
      </c>
      <c r="M14" s="6">
        <v>145909.74</v>
      </c>
      <c r="N14" s="6"/>
      <c r="O14" s="6">
        <v>49038</v>
      </c>
      <c r="P14" s="13">
        <v>87114.56</v>
      </c>
      <c r="Q14" s="7">
        <v>9329.01</v>
      </c>
    </row>
    <row r="15" spans="1:17" ht="12.75">
      <c r="A15" s="7"/>
      <c r="B15" s="7"/>
      <c r="C15" s="7"/>
      <c r="D15" s="6"/>
      <c r="E15" s="6"/>
      <c r="F15" s="37"/>
      <c r="G15" s="5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 ht="12.75">
      <c r="A16" s="7" t="s">
        <v>78</v>
      </c>
      <c r="B16" s="30" t="s">
        <v>26</v>
      </c>
      <c r="C16" s="7">
        <v>840</v>
      </c>
      <c r="D16" s="6">
        <v>76557.73</v>
      </c>
      <c r="E16" s="6">
        <v>77242.37</v>
      </c>
      <c r="F16" s="37">
        <f>E16*100/D16</f>
        <v>100.89427938890039</v>
      </c>
      <c r="G16" s="5">
        <f t="shared" si="0"/>
        <v>123745.86</v>
      </c>
      <c r="H16" s="6">
        <v>110137.86</v>
      </c>
      <c r="I16" s="6">
        <f t="shared" si="1"/>
        <v>110137.86</v>
      </c>
      <c r="J16" s="6">
        <v>9088.8</v>
      </c>
      <c r="K16" s="6">
        <v>835.8</v>
      </c>
      <c r="L16" s="6">
        <v>735.16</v>
      </c>
      <c r="M16" s="6">
        <v>99478.1</v>
      </c>
      <c r="N16" s="6"/>
      <c r="O16" s="6">
        <v>13608</v>
      </c>
      <c r="P16" s="13">
        <v>52827.51</v>
      </c>
      <c r="Q16" s="7">
        <v>14041.69</v>
      </c>
    </row>
    <row r="17" spans="1:17" ht="12.75">
      <c r="A17" s="7"/>
      <c r="B17" s="30"/>
      <c r="C17" s="7"/>
      <c r="D17" s="6"/>
      <c r="E17" s="6"/>
      <c r="F17" s="37"/>
      <c r="G17" s="5"/>
      <c r="H17" s="6"/>
      <c r="I17" s="6"/>
      <c r="J17" s="6"/>
      <c r="K17" s="6"/>
      <c r="L17" s="6"/>
      <c r="M17" s="6"/>
      <c r="N17" s="6"/>
      <c r="O17" s="6"/>
      <c r="P17" s="13"/>
      <c r="Q17" s="7"/>
    </row>
    <row r="18" spans="1:17" ht="12.75">
      <c r="A18" s="7" t="s">
        <v>78</v>
      </c>
      <c r="B18" s="30" t="s">
        <v>22</v>
      </c>
      <c r="C18" s="7">
        <v>1978.9</v>
      </c>
      <c r="D18" s="6">
        <v>216370.75</v>
      </c>
      <c r="E18" s="6">
        <v>213300.84</v>
      </c>
      <c r="F18" s="37">
        <f>E18*100/D18</f>
        <v>98.5811806817696</v>
      </c>
      <c r="G18" s="5">
        <f t="shared" si="0"/>
        <v>188971.4</v>
      </c>
      <c r="H18" s="6">
        <f>141485.92</f>
        <v>141485.92</v>
      </c>
      <c r="I18" s="6">
        <f t="shared" si="1"/>
        <v>141485.4</v>
      </c>
      <c r="J18" s="6">
        <v>21407.37</v>
      </c>
      <c r="K18" s="6">
        <v>1201.2</v>
      </c>
      <c r="L18" s="6">
        <v>1445.46</v>
      </c>
      <c r="M18" s="6">
        <v>117431.37</v>
      </c>
      <c r="N18" s="6"/>
      <c r="O18" s="6">
        <v>47486</v>
      </c>
      <c r="P18" s="13">
        <v>148985.51</v>
      </c>
      <c r="Q18" s="7">
        <v>42906.62</v>
      </c>
    </row>
    <row r="19" ht="12.75">
      <c r="A19" s="84"/>
    </row>
  </sheetData>
  <mergeCells count="17">
    <mergeCell ref="A1:Q1"/>
    <mergeCell ref="A2:B3"/>
    <mergeCell ref="C2:C4"/>
    <mergeCell ref="D2:D4"/>
    <mergeCell ref="E2:E4"/>
    <mergeCell ref="F2:F4"/>
    <mergeCell ref="G2:G4"/>
    <mergeCell ref="H2:H4"/>
    <mergeCell ref="I2:I4"/>
    <mergeCell ref="J2:O2"/>
    <mergeCell ref="P2:Q2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H1">
      <selection activeCell="Q14" sqref="Q14"/>
    </sheetView>
  </sheetViews>
  <sheetFormatPr defaultColWidth="9.00390625" defaultRowHeight="12.75"/>
  <cols>
    <col min="1" max="1" width="14.00390625" style="0" customWidth="1"/>
    <col min="2" max="2" width="6.625" style="0" customWidth="1"/>
    <col min="7" max="8" width="14.75390625" style="0" customWidth="1"/>
    <col min="9" max="9" width="23.50390625" style="0" customWidth="1"/>
    <col min="10" max="14" width="14.75390625" style="0" customWidth="1"/>
  </cols>
  <sheetData>
    <row r="1" spans="1:17" ht="12.75">
      <c r="A1" s="59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>
      <c r="A2" s="61" t="s">
        <v>5</v>
      </c>
      <c r="B2" s="62"/>
      <c r="C2" s="57" t="s">
        <v>54</v>
      </c>
      <c r="D2" s="57" t="s">
        <v>56</v>
      </c>
      <c r="E2" s="57" t="s">
        <v>15</v>
      </c>
      <c r="F2" s="57" t="s">
        <v>0</v>
      </c>
      <c r="G2" s="57" t="s">
        <v>58</v>
      </c>
      <c r="H2" s="57" t="s">
        <v>57</v>
      </c>
      <c r="I2" s="57" t="s">
        <v>66</v>
      </c>
      <c r="J2" s="55" t="s">
        <v>59</v>
      </c>
      <c r="K2" s="56"/>
      <c r="L2" s="56"/>
      <c r="M2" s="56"/>
      <c r="N2" s="56"/>
      <c r="O2" s="70"/>
      <c r="P2" s="53" t="s">
        <v>55</v>
      </c>
      <c r="Q2" s="54"/>
    </row>
    <row r="3" spans="1:17" ht="105">
      <c r="A3" s="68"/>
      <c r="B3" s="69"/>
      <c r="C3" s="65"/>
      <c r="D3" s="65"/>
      <c r="E3" s="65"/>
      <c r="F3" s="65"/>
      <c r="G3" s="65"/>
      <c r="H3" s="66"/>
      <c r="I3" s="66"/>
      <c r="J3" s="65" t="s">
        <v>61</v>
      </c>
      <c r="K3" s="65" t="s">
        <v>62</v>
      </c>
      <c r="L3" s="65" t="s">
        <v>60</v>
      </c>
      <c r="M3" s="65" t="s">
        <v>63</v>
      </c>
      <c r="N3" s="57" t="s">
        <v>64</v>
      </c>
      <c r="O3" s="57" t="s">
        <v>53</v>
      </c>
      <c r="P3" s="20" t="s">
        <v>50</v>
      </c>
      <c r="Q3" s="19" t="s">
        <v>4</v>
      </c>
    </row>
    <row r="4" spans="1:17" ht="39">
      <c r="A4" s="27" t="s">
        <v>6</v>
      </c>
      <c r="B4" s="27" t="s">
        <v>7</v>
      </c>
      <c r="C4" s="58"/>
      <c r="D4" s="58"/>
      <c r="E4" s="58"/>
      <c r="F4" s="58"/>
      <c r="G4" s="58"/>
      <c r="H4" s="67"/>
      <c r="I4" s="67"/>
      <c r="J4" s="58"/>
      <c r="K4" s="58"/>
      <c r="L4" s="58"/>
      <c r="M4" s="58"/>
      <c r="N4" s="58"/>
      <c r="O4" s="58"/>
      <c r="P4" s="22" t="s">
        <v>16</v>
      </c>
      <c r="Q4" s="21" t="s">
        <v>17</v>
      </c>
    </row>
    <row r="5" spans="1:17" ht="12.75">
      <c r="A5" s="3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/>
      <c r="I5" s="25"/>
      <c r="J5" s="25">
        <v>8</v>
      </c>
      <c r="K5" s="25">
        <v>9</v>
      </c>
      <c r="L5" s="25">
        <v>10</v>
      </c>
      <c r="M5" s="25">
        <v>11</v>
      </c>
      <c r="N5" s="25">
        <v>12</v>
      </c>
      <c r="O5" s="25">
        <v>13</v>
      </c>
      <c r="P5" s="25">
        <v>14</v>
      </c>
      <c r="Q5" s="26">
        <v>15</v>
      </c>
    </row>
    <row r="6" spans="1:17" ht="12.75">
      <c r="A6" s="1" t="s">
        <v>69</v>
      </c>
      <c r="B6" s="1">
        <v>2</v>
      </c>
      <c r="C6" s="1">
        <v>786.3</v>
      </c>
      <c r="D6" s="5">
        <v>67666.8</v>
      </c>
      <c r="E6" s="5">
        <v>63835.84</v>
      </c>
      <c r="F6" s="3">
        <f>E6*100/D6</f>
        <v>94.3384939142977</v>
      </c>
      <c r="G6" s="3">
        <f>J6+K6+L6+M6+N6+O6</f>
        <v>304841.12</v>
      </c>
      <c r="H6" s="3">
        <f>291778.12</f>
        <v>291778.12</v>
      </c>
      <c r="I6" s="3">
        <f>SUM(J6:N6)</f>
        <v>291778.12</v>
      </c>
      <c r="J6" s="3">
        <v>6461.43</v>
      </c>
      <c r="K6" s="3">
        <v>812</v>
      </c>
      <c r="L6" s="3">
        <v>650.03</v>
      </c>
      <c r="M6" s="3">
        <f>36381.82+246770.84</f>
        <v>283152.66</v>
      </c>
      <c r="N6" s="3">
        <v>702</v>
      </c>
      <c r="O6" s="5">
        <v>13063</v>
      </c>
      <c r="P6" s="5">
        <v>68636.78</v>
      </c>
      <c r="Q6" s="1">
        <v>35483.55</v>
      </c>
    </row>
    <row r="7" spans="1:17" ht="12.75">
      <c r="A7" s="1"/>
      <c r="B7" s="1"/>
      <c r="C7" s="1"/>
      <c r="D7" s="5"/>
      <c r="E7" s="5"/>
      <c r="F7" s="1"/>
      <c r="G7" s="3"/>
      <c r="H7" s="1"/>
      <c r="I7" s="3"/>
      <c r="J7" s="1"/>
      <c r="K7" s="1"/>
      <c r="L7" s="1"/>
      <c r="M7" s="1"/>
      <c r="N7" s="1"/>
      <c r="O7" s="1"/>
      <c r="P7" s="1"/>
      <c r="Q7" s="1"/>
    </row>
    <row r="8" spans="1:17" ht="12.75">
      <c r="A8" s="1" t="s">
        <v>69</v>
      </c>
      <c r="B8" s="1">
        <v>3</v>
      </c>
      <c r="C8" s="1">
        <v>577</v>
      </c>
      <c r="D8" s="5">
        <v>73744.56</v>
      </c>
      <c r="E8" s="5">
        <v>67652.81</v>
      </c>
      <c r="F8" s="3">
        <f>E8*100/D8</f>
        <v>91.73939067505454</v>
      </c>
      <c r="G8" s="3">
        <f aca="true" t="shared" si="0" ref="G8:G14">J8+K8+L8+M8+N8+O8</f>
        <v>50749.85</v>
      </c>
      <c r="H8" s="3">
        <v>33854.85</v>
      </c>
      <c r="I8" s="3">
        <f aca="true" t="shared" si="1" ref="I8:I14">SUM(J8:N8)</f>
        <v>33854.85</v>
      </c>
      <c r="J8" s="3">
        <v>4626.41</v>
      </c>
      <c r="K8" s="3">
        <v>602</v>
      </c>
      <c r="L8" s="3">
        <v>483.42</v>
      </c>
      <c r="M8" s="3">
        <v>27207.02</v>
      </c>
      <c r="N8" s="3">
        <v>936</v>
      </c>
      <c r="O8" s="5">
        <v>16895</v>
      </c>
      <c r="P8" s="5">
        <v>67090.19</v>
      </c>
      <c r="Q8" s="1">
        <v>35986.64</v>
      </c>
    </row>
    <row r="9" spans="1:17" ht="12.75">
      <c r="A9" s="1"/>
      <c r="B9" s="1"/>
      <c r="C9" s="1"/>
      <c r="D9" s="5"/>
      <c r="E9" s="5"/>
      <c r="F9" s="1"/>
      <c r="G9" s="3"/>
      <c r="H9" s="1"/>
      <c r="I9" s="3"/>
      <c r="J9" s="1"/>
      <c r="K9" s="1"/>
      <c r="L9" s="1"/>
      <c r="M9" s="1"/>
      <c r="N9" s="1"/>
      <c r="O9" s="1"/>
      <c r="P9" s="1"/>
      <c r="Q9" s="1"/>
    </row>
    <row r="10" spans="1:17" ht="12.75">
      <c r="A10" s="1" t="s">
        <v>69</v>
      </c>
      <c r="B10" s="1">
        <v>4</v>
      </c>
      <c r="C10" s="1">
        <v>848.1</v>
      </c>
      <c r="D10" s="5">
        <v>108608.23</v>
      </c>
      <c r="E10" s="5">
        <v>125603.88</v>
      </c>
      <c r="F10" s="3">
        <f>E10*100/D10</f>
        <v>115.64858390565799</v>
      </c>
      <c r="G10" s="3">
        <f t="shared" si="0"/>
        <v>70418.13</v>
      </c>
      <c r="H10" s="3">
        <f>45587.13</f>
        <v>45587.13</v>
      </c>
      <c r="I10" s="3">
        <f t="shared" si="1"/>
        <v>45587.13</v>
      </c>
      <c r="J10" s="3">
        <v>6937.15</v>
      </c>
      <c r="K10" s="3">
        <v>896</v>
      </c>
      <c r="L10" s="3">
        <v>652.52</v>
      </c>
      <c r="M10" s="3">
        <v>35463.46</v>
      </c>
      <c r="N10" s="3">
        <v>1638</v>
      </c>
      <c r="O10" s="5">
        <v>24831</v>
      </c>
      <c r="P10" s="5">
        <v>59271.53</v>
      </c>
      <c r="Q10" s="1">
        <v>21212.29</v>
      </c>
    </row>
    <row r="11" spans="1:17" ht="12.75">
      <c r="A11" s="1"/>
      <c r="B11" s="1"/>
      <c r="C11" s="1"/>
      <c r="D11" s="5"/>
      <c r="E11" s="5"/>
      <c r="F11" s="1"/>
      <c r="G11" s="3"/>
      <c r="H11" s="1"/>
      <c r="I11" s="3"/>
      <c r="J11" s="1"/>
      <c r="K11" s="1"/>
      <c r="L11" s="1"/>
      <c r="M11" s="1"/>
      <c r="N11" s="1"/>
      <c r="O11" s="1"/>
      <c r="P11" s="1"/>
      <c r="Q11" s="1"/>
    </row>
    <row r="12" spans="1:17" ht="12.75">
      <c r="A12" s="1" t="s">
        <v>69</v>
      </c>
      <c r="B12" s="1">
        <v>5</v>
      </c>
      <c r="C12" s="1">
        <v>792.4</v>
      </c>
      <c r="D12" s="5">
        <v>101583.6</v>
      </c>
      <c r="E12" s="5">
        <v>101358.62</v>
      </c>
      <c r="F12" s="3">
        <f>E12*100/D12</f>
        <v>99.77852724258639</v>
      </c>
      <c r="G12" s="3">
        <f t="shared" si="0"/>
        <v>69399.45000000001</v>
      </c>
      <c r="H12" s="3">
        <v>46196.45</v>
      </c>
      <c r="I12" s="3">
        <f t="shared" si="1"/>
        <v>46196.450000000004</v>
      </c>
      <c r="J12" s="3">
        <v>6521.3</v>
      </c>
      <c r="K12" s="3">
        <v>910</v>
      </c>
      <c r="L12" s="3">
        <v>712.18</v>
      </c>
      <c r="M12" s="3">
        <v>36180.97</v>
      </c>
      <c r="N12" s="3">
        <v>1872</v>
      </c>
      <c r="O12" s="5">
        <v>23203</v>
      </c>
      <c r="P12" s="5">
        <v>28773.59</v>
      </c>
      <c r="Q12" s="1">
        <v>2645.45</v>
      </c>
    </row>
    <row r="13" spans="1:17" ht="12.75">
      <c r="A13" s="1"/>
      <c r="B13" s="1"/>
      <c r="C13" s="1"/>
      <c r="D13" s="5"/>
      <c r="E13" s="5"/>
      <c r="F13" s="3"/>
      <c r="G13" s="3"/>
      <c r="H13" s="3"/>
      <c r="I13" s="3"/>
      <c r="J13" s="3"/>
      <c r="K13" s="3"/>
      <c r="L13" s="3"/>
      <c r="M13" s="3"/>
      <c r="N13" s="3"/>
      <c r="O13" s="5"/>
      <c r="P13" s="5"/>
      <c r="Q13" s="1"/>
    </row>
    <row r="14" spans="1:17" ht="12.75">
      <c r="A14" s="1" t="s">
        <v>69</v>
      </c>
      <c r="B14" s="1">
        <v>6</v>
      </c>
      <c r="C14" s="1">
        <v>869</v>
      </c>
      <c r="D14" s="5">
        <v>110072.24</v>
      </c>
      <c r="E14" s="5">
        <v>112954.75</v>
      </c>
      <c r="F14" s="3">
        <f>E14*100/D14</f>
        <v>102.61874383586633</v>
      </c>
      <c r="G14" s="3">
        <f t="shared" si="0"/>
        <v>82860.27</v>
      </c>
      <c r="H14" s="3">
        <v>57416.27</v>
      </c>
      <c r="I14" s="3">
        <f t="shared" si="1"/>
        <v>57416.270000000004</v>
      </c>
      <c r="J14" s="3">
        <v>7114.75</v>
      </c>
      <c r="K14" s="3">
        <v>845.6</v>
      </c>
      <c r="L14" s="3">
        <v>677.38</v>
      </c>
      <c r="M14" s="3">
        <v>46438.54</v>
      </c>
      <c r="N14" s="3">
        <v>2340</v>
      </c>
      <c r="O14" s="5">
        <v>25444</v>
      </c>
      <c r="P14" s="5">
        <v>39860.04</v>
      </c>
      <c r="Q14" s="1">
        <v>4390.54</v>
      </c>
    </row>
  </sheetData>
  <mergeCells count="17">
    <mergeCell ref="A1:Q1"/>
    <mergeCell ref="A2:B3"/>
    <mergeCell ref="C2:C4"/>
    <mergeCell ref="D2:D4"/>
    <mergeCell ref="E2:E4"/>
    <mergeCell ref="F2:F4"/>
    <mergeCell ref="G2:G4"/>
    <mergeCell ref="H2:H4"/>
    <mergeCell ref="I2:I4"/>
    <mergeCell ref="J2:O2"/>
    <mergeCell ref="P2:Q2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8"/>
  <sheetViews>
    <sheetView tabSelected="1" workbookViewId="0" topLeftCell="A256">
      <selection activeCell="J275" sqref="J275"/>
    </sheetView>
  </sheetViews>
  <sheetFormatPr defaultColWidth="9.00390625" defaultRowHeight="12.75"/>
  <cols>
    <col min="1" max="1" width="14.00390625" style="0" customWidth="1"/>
    <col min="2" max="2" width="7.00390625" style="0" customWidth="1"/>
    <col min="3" max="3" width="9.50390625" style="0" customWidth="1"/>
    <col min="4" max="4" width="15.50390625" style="0" customWidth="1"/>
    <col min="5" max="5" width="14.625" style="0" customWidth="1"/>
    <col min="6" max="6" width="10.25390625" style="0" customWidth="1"/>
    <col min="7" max="7" width="13.00390625" style="0" customWidth="1"/>
    <col min="8" max="8" width="11.00390625" style="0" hidden="1" customWidth="1"/>
    <col min="9" max="9" width="10.25390625" style="0" hidden="1" customWidth="1"/>
    <col min="10" max="10" width="10.00390625" style="0" customWidth="1"/>
    <col min="11" max="11" width="12.50390625" style="0" customWidth="1"/>
    <col min="12" max="12" width="10.25390625" style="0" customWidth="1"/>
    <col min="13" max="13" width="12.50390625" style="0" customWidth="1"/>
    <col min="14" max="14" width="10.375" style="0" customWidth="1"/>
    <col min="15" max="15" width="10.125" style="0" customWidth="1"/>
    <col min="16" max="16" width="15.375" style="0" customWidth="1"/>
    <col min="17" max="17" width="12.75390625" style="0" customWidth="1"/>
  </cols>
  <sheetData>
    <row r="1" spans="1:17" ht="45" customHeight="1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0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>
      <c r="A3" s="50" t="s">
        <v>73</v>
      </c>
      <c r="B3" s="51"/>
      <c r="C3" s="51"/>
      <c r="D3" s="52"/>
      <c r="E3" s="52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</row>
    <row r="4" spans="1:17" ht="18.75" customHeight="1">
      <c r="A4" s="61" t="s">
        <v>5</v>
      </c>
      <c r="B4" s="62"/>
      <c r="C4" s="57" t="s">
        <v>54</v>
      </c>
      <c r="D4" s="57" t="s">
        <v>56</v>
      </c>
      <c r="E4" s="57" t="s">
        <v>15</v>
      </c>
      <c r="F4" s="57" t="s">
        <v>0</v>
      </c>
      <c r="G4" s="57" t="s">
        <v>58</v>
      </c>
      <c r="H4" s="57" t="s">
        <v>57</v>
      </c>
      <c r="I4" s="57" t="s">
        <v>66</v>
      </c>
      <c r="J4" s="55" t="s">
        <v>59</v>
      </c>
      <c r="K4" s="56"/>
      <c r="L4" s="56"/>
      <c r="M4" s="56"/>
      <c r="N4" s="56"/>
      <c r="O4" s="70"/>
      <c r="P4" s="53" t="s">
        <v>55</v>
      </c>
      <c r="Q4" s="54"/>
    </row>
    <row r="5" spans="1:17" ht="77.25" customHeight="1">
      <c r="A5" s="63"/>
      <c r="B5" s="64"/>
      <c r="C5" s="65"/>
      <c r="D5" s="65"/>
      <c r="E5" s="65"/>
      <c r="F5" s="65"/>
      <c r="G5" s="65"/>
      <c r="H5" s="66"/>
      <c r="I5" s="66"/>
      <c r="J5" s="65" t="s">
        <v>61</v>
      </c>
      <c r="K5" s="65" t="s">
        <v>62</v>
      </c>
      <c r="L5" s="65" t="s">
        <v>60</v>
      </c>
      <c r="M5" s="65" t="s">
        <v>63</v>
      </c>
      <c r="N5" s="57" t="s">
        <v>64</v>
      </c>
      <c r="O5" s="57" t="s">
        <v>53</v>
      </c>
      <c r="P5" s="20" t="s">
        <v>50</v>
      </c>
      <c r="Q5" s="19" t="s">
        <v>4</v>
      </c>
    </row>
    <row r="6" spans="1:17" ht="24" customHeight="1">
      <c r="A6" s="27" t="s">
        <v>6</v>
      </c>
      <c r="B6" s="27" t="s">
        <v>7</v>
      </c>
      <c r="C6" s="58"/>
      <c r="D6" s="58"/>
      <c r="E6" s="58"/>
      <c r="F6" s="58"/>
      <c r="G6" s="58"/>
      <c r="H6" s="67"/>
      <c r="I6" s="67"/>
      <c r="J6" s="58"/>
      <c r="K6" s="58"/>
      <c r="L6" s="58"/>
      <c r="M6" s="58"/>
      <c r="N6" s="58"/>
      <c r="O6" s="58"/>
      <c r="P6" s="22" t="s">
        <v>16</v>
      </c>
      <c r="Q6" s="21" t="s">
        <v>17</v>
      </c>
    </row>
    <row r="7" spans="1:17" ht="12.75" customHeight="1">
      <c r="A7" s="33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/>
      <c r="J7" s="25">
        <v>8</v>
      </c>
      <c r="K7" s="25">
        <v>9</v>
      </c>
      <c r="L7" s="25">
        <v>10</v>
      </c>
      <c r="M7" s="25">
        <v>11</v>
      </c>
      <c r="N7" s="25">
        <v>12</v>
      </c>
      <c r="O7" s="25">
        <v>13</v>
      </c>
      <c r="P7" s="25">
        <v>14</v>
      </c>
      <c r="Q7" s="26">
        <v>15</v>
      </c>
    </row>
    <row r="8" spans="1:17" ht="12.75">
      <c r="A8" s="1" t="s">
        <v>9</v>
      </c>
      <c r="B8" s="2">
        <v>6</v>
      </c>
      <c r="C8" s="5">
        <v>713</v>
      </c>
      <c r="D8" s="5">
        <v>88348.66</v>
      </c>
      <c r="E8" s="5">
        <v>83508.26</v>
      </c>
      <c r="F8" s="40">
        <f>E8*100/D8</f>
        <v>94.52125250116978</v>
      </c>
      <c r="G8" s="5">
        <f>H8+O8</f>
        <v>90652.13</v>
      </c>
      <c r="H8" s="5">
        <f>70545.13</f>
        <v>70545.13</v>
      </c>
      <c r="I8" s="5">
        <f>SUM(J8:N8)</f>
        <v>70545.13</v>
      </c>
      <c r="J8" s="5">
        <v>5889.38</v>
      </c>
      <c r="K8" s="5"/>
      <c r="L8" s="5">
        <v>562.5</v>
      </c>
      <c r="M8" s="5">
        <f>45802.72+15248.53</f>
        <v>61051.25</v>
      </c>
      <c r="N8" s="5">
        <v>3042</v>
      </c>
      <c r="O8" s="5">
        <v>20107</v>
      </c>
      <c r="P8" s="5">
        <v>46924.03</v>
      </c>
      <c r="Q8" s="5">
        <v>15185.74</v>
      </c>
    </row>
    <row r="9" spans="1:17" ht="12.75">
      <c r="A9" s="1"/>
      <c r="B9" s="2"/>
      <c r="C9" s="5"/>
      <c r="D9" s="5"/>
      <c r="E9" s="5"/>
      <c r="F9" s="40"/>
      <c r="G9" s="5"/>
      <c r="H9" s="18"/>
      <c r="I9" s="5"/>
      <c r="J9" s="18"/>
      <c r="K9" s="18"/>
      <c r="L9" s="18"/>
      <c r="M9" s="18"/>
      <c r="N9" s="18"/>
      <c r="O9" s="5"/>
      <c r="P9" s="5"/>
      <c r="Q9" s="5"/>
    </row>
    <row r="10" spans="1:17" ht="12.75">
      <c r="A10" s="15" t="s">
        <v>9</v>
      </c>
      <c r="B10" s="34">
        <v>13</v>
      </c>
      <c r="C10" s="5">
        <v>1769.9</v>
      </c>
      <c r="D10" s="5">
        <v>223007.4</v>
      </c>
      <c r="E10" s="5">
        <v>213164.16</v>
      </c>
      <c r="F10" s="40">
        <f>E10*100/D10</f>
        <v>95.58613750036994</v>
      </c>
      <c r="G10" s="5">
        <f>H10+O10</f>
        <v>151087.84999999998</v>
      </c>
      <c r="H10" s="18">
        <f>68070.43+33106.42</f>
        <v>101176.84999999999</v>
      </c>
      <c r="I10" s="5">
        <f>SUM(J10:N10)</f>
        <v>101176.93</v>
      </c>
      <c r="J10" s="18">
        <v>14619.36</v>
      </c>
      <c r="K10" s="18">
        <v>840</v>
      </c>
      <c r="L10" s="18">
        <v>1424.36</v>
      </c>
      <c r="M10" s="18">
        <f>1543.78+71418.43+7821</f>
        <v>80783.20999999999</v>
      </c>
      <c r="N10" s="18">
        <v>3510</v>
      </c>
      <c r="O10" s="5">
        <v>49911</v>
      </c>
      <c r="P10" s="5">
        <v>31278.72</v>
      </c>
      <c r="Q10" s="5">
        <v>13256.62</v>
      </c>
    </row>
    <row r="11" spans="1:17" ht="12.75">
      <c r="A11" s="1"/>
      <c r="B11" s="2"/>
      <c r="C11" s="5"/>
      <c r="D11" s="5"/>
      <c r="E11" s="5"/>
      <c r="F11" s="40"/>
      <c r="G11" s="5"/>
      <c r="H11" s="18"/>
      <c r="I11" s="5"/>
      <c r="J11" s="18"/>
      <c r="K11" s="18"/>
      <c r="L11" s="18"/>
      <c r="M11" s="18"/>
      <c r="N11" s="18"/>
      <c r="O11" s="5"/>
      <c r="P11" s="5"/>
      <c r="Q11" s="5"/>
    </row>
    <row r="12" spans="1:17" ht="12.75">
      <c r="A12" s="1" t="s">
        <v>9</v>
      </c>
      <c r="B12" s="2">
        <v>15</v>
      </c>
      <c r="C12" s="5">
        <v>1147.3</v>
      </c>
      <c r="D12" s="5">
        <v>137427.59</v>
      </c>
      <c r="E12" s="5">
        <v>130937.36</v>
      </c>
      <c r="F12" s="40">
        <f>E12*100/D12</f>
        <v>95.27734569164751</v>
      </c>
      <c r="G12" s="5">
        <f>H12+O12</f>
        <v>157402.96000000002</v>
      </c>
      <c r="H12" s="18">
        <v>125048.96</v>
      </c>
      <c r="I12" s="5">
        <f>SUM(J12:N12)</f>
        <v>125048.96</v>
      </c>
      <c r="J12" s="18">
        <v>9483.32</v>
      </c>
      <c r="K12" s="18">
        <v>516.6</v>
      </c>
      <c r="L12" s="18">
        <v>966.85</v>
      </c>
      <c r="M12" s="18">
        <f>27789.56+76348.63+6200</f>
        <v>110338.19</v>
      </c>
      <c r="N12" s="18">
        <v>3744</v>
      </c>
      <c r="O12" s="5">
        <v>32354</v>
      </c>
      <c r="P12" s="5">
        <v>64483.83</v>
      </c>
      <c r="Q12" s="5">
        <v>18987.32</v>
      </c>
    </row>
    <row r="13" spans="1:17" ht="12.75">
      <c r="A13" s="1"/>
      <c r="B13" s="2"/>
      <c r="C13" s="5"/>
      <c r="D13" s="5"/>
      <c r="E13" s="5"/>
      <c r="F13" s="40"/>
      <c r="G13" s="5"/>
      <c r="H13" s="18"/>
      <c r="I13" s="5"/>
      <c r="J13" s="18"/>
      <c r="K13" s="18"/>
      <c r="L13" s="18"/>
      <c r="M13" s="18"/>
      <c r="N13" s="18"/>
      <c r="O13" s="5"/>
      <c r="P13" s="5"/>
      <c r="Q13" s="5"/>
    </row>
    <row r="14" spans="1:17" ht="12.75">
      <c r="A14" s="1" t="s">
        <v>9</v>
      </c>
      <c r="B14" s="2" t="s">
        <v>10</v>
      </c>
      <c r="C14" s="5">
        <v>830.1</v>
      </c>
      <c r="D14" s="5">
        <v>101270.64</v>
      </c>
      <c r="E14" s="5">
        <v>97063.39</v>
      </c>
      <c r="F14" s="40">
        <f>E14*100/D14</f>
        <v>95.84553825274531</v>
      </c>
      <c r="G14" s="5">
        <f>H14+O14</f>
        <v>67863.52</v>
      </c>
      <c r="H14" s="18">
        <f>66407.52-21953</f>
        <v>44454.520000000004</v>
      </c>
      <c r="I14" s="5">
        <f>SUM(J14:N14)</f>
        <v>44454.520000000004</v>
      </c>
      <c r="J14" s="18">
        <v>6466.48</v>
      </c>
      <c r="K14" s="18">
        <v>866.6</v>
      </c>
      <c r="L14" s="18">
        <v>628.18</v>
      </c>
      <c r="M14" s="18">
        <f>19744.89+14408.37</f>
        <v>34153.26</v>
      </c>
      <c r="N14" s="18">
        <v>2340</v>
      </c>
      <c r="O14" s="5">
        <v>23409</v>
      </c>
      <c r="P14" s="5">
        <v>103179.69</v>
      </c>
      <c r="Q14" s="5">
        <v>66297.11</v>
      </c>
    </row>
    <row r="15" spans="1:17" ht="12.75">
      <c r="A15" s="1"/>
      <c r="B15" s="2"/>
      <c r="C15" s="5"/>
      <c r="D15" s="5"/>
      <c r="E15" s="5"/>
      <c r="F15" s="4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2.75">
      <c r="A16" s="1" t="s">
        <v>9</v>
      </c>
      <c r="B16" s="2">
        <v>16</v>
      </c>
      <c r="C16" s="5">
        <v>551</v>
      </c>
      <c r="D16" s="5">
        <v>67498.54</v>
      </c>
      <c r="E16" s="5">
        <v>65436.6</v>
      </c>
      <c r="F16" s="40">
        <f>E16*100/D16</f>
        <v>96.94520800005454</v>
      </c>
      <c r="G16" s="5">
        <f>H16+O16</f>
        <v>100852.83</v>
      </c>
      <c r="H16" s="5">
        <v>85314.83</v>
      </c>
      <c r="I16" s="5">
        <f>SUM(J16:N16)</f>
        <v>85314.83</v>
      </c>
      <c r="J16" s="5">
        <v>4514.89</v>
      </c>
      <c r="K16" s="5"/>
      <c r="L16" s="5">
        <v>520.19</v>
      </c>
      <c r="M16" s="5">
        <f>24600+27474.54+27035.21</f>
        <v>79109.75</v>
      </c>
      <c r="N16" s="5">
        <v>1170</v>
      </c>
      <c r="O16" s="5">
        <v>15538</v>
      </c>
      <c r="P16" s="5">
        <v>13852.36</v>
      </c>
      <c r="Q16" s="5">
        <v>476.33</v>
      </c>
    </row>
    <row r="17" spans="1:17" ht="12.75">
      <c r="A17" s="1"/>
      <c r="B17" s="2"/>
      <c r="C17" s="5"/>
      <c r="D17" s="5"/>
      <c r="E17" s="5"/>
      <c r="F17" s="4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s="1" t="s">
        <v>9</v>
      </c>
      <c r="B18" s="2">
        <v>17</v>
      </c>
      <c r="C18" s="5">
        <v>834.5</v>
      </c>
      <c r="D18" s="5">
        <v>102241.55</v>
      </c>
      <c r="E18" s="5">
        <v>100245.34</v>
      </c>
      <c r="F18" s="40">
        <f>E18*100/D18</f>
        <v>98.0475550302201</v>
      </c>
      <c r="G18" s="5">
        <f>H18+O18</f>
        <v>88984.05</v>
      </c>
      <c r="H18" s="5">
        <f>65482.05</f>
        <v>65482.05</v>
      </c>
      <c r="I18" s="5">
        <f>SUM(J18:N18)</f>
        <v>65482.049999999996</v>
      </c>
      <c r="J18" s="5">
        <v>6437.18</v>
      </c>
      <c r="K18" s="5">
        <v>925.4</v>
      </c>
      <c r="L18" s="5">
        <v>725.18</v>
      </c>
      <c r="M18" s="5">
        <f>39066.7+16221.59</f>
        <v>55288.28999999999</v>
      </c>
      <c r="N18" s="5">
        <v>2106</v>
      </c>
      <c r="O18" s="5">
        <v>23502</v>
      </c>
      <c r="P18" s="5">
        <v>40185.97</v>
      </c>
      <c r="Q18" s="5">
        <v>7239.3</v>
      </c>
    </row>
    <row r="19" spans="1:17" ht="12.75">
      <c r="A19" s="1"/>
      <c r="B19" s="2"/>
      <c r="C19" s="5"/>
      <c r="D19" s="5"/>
      <c r="E19" s="5"/>
      <c r="F19" s="4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1" t="s">
        <v>9</v>
      </c>
      <c r="B20" s="2" t="s">
        <v>11</v>
      </c>
      <c r="C20" s="5">
        <v>1327.6</v>
      </c>
      <c r="D20" s="5">
        <v>167267.1</v>
      </c>
      <c r="E20" s="5">
        <v>168955.92</v>
      </c>
      <c r="F20" s="40">
        <f>E20*100/D20</f>
        <v>101.00965461827221</v>
      </c>
      <c r="G20" s="5">
        <f>H20+O20</f>
        <v>140874.41</v>
      </c>
      <c r="H20" s="5">
        <f>103991.41</f>
        <v>103991.41</v>
      </c>
      <c r="I20" s="5">
        <f>SUM(J20:N20)</f>
        <v>103991.41</v>
      </c>
      <c r="J20" s="5">
        <v>10965.99</v>
      </c>
      <c r="K20" s="5">
        <v>589.4</v>
      </c>
      <c r="L20" s="5">
        <v>1008.63</v>
      </c>
      <c r="M20" s="5">
        <f>43748.87+43700.52</f>
        <v>87449.39</v>
      </c>
      <c r="N20" s="5">
        <v>3978</v>
      </c>
      <c r="O20" s="5">
        <v>36883</v>
      </c>
      <c r="P20" s="5">
        <v>61720.32</v>
      </c>
      <c r="Q20" s="5">
        <v>11208.27</v>
      </c>
    </row>
    <row r="21" spans="1:17" ht="12.75">
      <c r="A21" s="1"/>
      <c r="B21" s="2"/>
      <c r="C21" s="5"/>
      <c r="D21" s="5"/>
      <c r="E21" s="5"/>
      <c r="F21" s="4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1" t="s">
        <v>9</v>
      </c>
      <c r="B22" s="2">
        <v>44</v>
      </c>
      <c r="C22" s="91">
        <v>72.2</v>
      </c>
      <c r="D22" s="5">
        <v>739.32</v>
      </c>
      <c r="E22" s="5">
        <v>834.41</v>
      </c>
      <c r="F22" s="40">
        <f>E22*100/D22</f>
        <v>112.86181896878212</v>
      </c>
      <c r="G22" s="5">
        <f>H22+O22</f>
        <v>503.75</v>
      </c>
      <c r="H22" s="5">
        <v>241.75</v>
      </c>
      <c r="I22" s="5">
        <f>SUM(J22:N22)</f>
        <v>241.75</v>
      </c>
      <c r="J22" s="5">
        <v>199.27</v>
      </c>
      <c r="K22" s="5"/>
      <c r="L22" s="5"/>
      <c r="M22" s="5">
        <v>42.48</v>
      </c>
      <c r="N22" s="5"/>
      <c r="O22" s="5">
        <f>1048/12*3</f>
        <v>262</v>
      </c>
      <c r="P22" s="5">
        <v>0</v>
      </c>
      <c r="Q22" s="5">
        <v>0</v>
      </c>
    </row>
    <row r="23" spans="1:17" ht="12.75">
      <c r="A23" s="1"/>
      <c r="B23" s="2"/>
      <c r="C23" s="5"/>
      <c r="D23" s="5"/>
      <c r="E23" s="5"/>
      <c r="F23" s="4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1" t="s">
        <v>9</v>
      </c>
      <c r="B24" s="2">
        <v>49</v>
      </c>
      <c r="C24" s="5">
        <v>531.9</v>
      </c>
      <c r="D24" s="5">
        <v>40927.38</v>
      </c>
      <c r="E24" s="5">
        <v>39188.9</v>
      </c>
      <c r="F24" s="40">
        <f>E24*100/D24</f>
        <v>95.75228123569113</v>
      </c>
      <c r="G24" s="5">
        <f>H24+O24</f>
        <v>36502.59</v>
      </c>
      <c r="H24" s="5">
        <f>27567.59</f>
        <v>27567.59</v>
      </c>
      <c r="I24" s="5">
        <f>SUM(J24:N24)</f>
        <v>27567.59</v>
      </c>
      <c r="J24" s="5">
        <v>4182.55</v>
      </c>
      <c r="K24" s="5"/>
      <c r="L24" s="5"/>
      <c r="M24" s="5">
        <f>13545.68+8669.36</f>
        <v>22215.04</v>
      </c>
      <c r="N24" s="5">
        <v>1170</v>
      </c>
      <c r="O24" s="5">
        <f>8935</f>
        <v>8935</v>
      </c>
      <c r="P24" s="5">
        <v>26238.47</v>
      </c>
      <c r="Q24" s="5">
        <v>9586.58</v>
      </c>
    </row>
    <row r="25" spans="1:17" ht="12.75">
      <c r="A25" s="1"/>
      <c r="B25" s="2"/>
      <c r="C25" s="5"/>
      <c r="D25" s="5"/>
      <c r="E25" s="5"/>
      <c r="F25" s="4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1" t="s">
        <v>9</v>
      </c>
      <c r="B26" s="2">
        <v>51</v>
      </c>
      <c r="C26" s="5">
        <v>843.1</v>
      </c>
      <c r="D26" s="5">
        <v>66993.96</v>
      </c>
      <c r="E26" s="5">
        <v>64895.42</v>
      </c>
      <c r="F26" s="40">
        <f>E26*100/D26</f>
        <v>96.86756835989392</v>
      </c>
      <c r="G26" s="5">
        <f>H26+O26</f>
        <v>50721.58</v>
      </c>
      <c r="H26" s="5">
        <f>36557.58</f>
        <v>36557.58</v>
      </c>
      <c r="I26" s="5">
        <f>SUM(J26:N26)</f>
        <v>36557.58</v>
      </c>
      <c r="J26" s="5">
        <v>6630.14</v>
      </c>
      <c r="K26" s="5"/>
      <c r="L26" s="5">
        <v>683.39</v>
      </c>
      <c r="M26" s="5">
        <f>16504.74+11335.31</f>
        <v>27840.050000000003</v>
      </c>
      <c r="N26" s="5">
        <v>1404</v>
      </c>
      <c r="O26" s="5">
        <v>14164</v>
      </c>
      <c r="P26" s="5">
        <v>34310.22</v>
      </c>
      <c r="Q26" s="5">
        <v>0.02</v>
      </c>
    </row>
    <row r="27" spans="1:17" ht="12.75">
      <c r="A27" s="1"/>
      <c r="B27" s="2"/>
      <c r="C27" s="5"/>
      <c r="D27" s="5"/>
      <c r="E27" s="5"/>
      <c r="F27" s="4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1" t="s">
        <v>9</v>
      </c>
      <c r="B28" s="2">
        <v>52</v>
      </c>
      <c r="C28" s="5">
        <v>844</v>
      </c>
      <c r="D28" s="5">
        <v>72231</v>
      </c>
      <c r="E28" s="5">
        <v>68596.02</v>
      </c>
      <c r="F28" s="40">
        <f>E28*100/D28</f>
        <v>94.96756240395398</v>
      </c>
      <c r="G28" s="5">
        <f>H28+O28</f>
        <v>52678.19</v>
      </c>
      <c r="H28" s="5">
        <v>38499.19</v>
      </c>
      <c r="I28" s="5">
        <f>SUM(J28:N28)</f>
        <v>38499.19</v>
      </c>
      <c r="J28" s="5">
        <v>6927.2</v>
      </c>
      <c r="K28" s="5"/>
      <c r="L28" s="5">
        <v>743.62</v>
      </c>
      <c r="M28" s="5">
        <f>12419.71+17121.66</f>
        <v>29541.37</v>
      </c>
      <c r="N28" s="5">
        <v>1287</v>
      </c>
      <c r="O28" s="5">
        <v>14179</v>
      </c>
      <c r="P28" s="5">
        <v>59266.95</v>
      </c>
      <c r="Q28" s="5">
        <v>32281.93</v>
      </c>
    </row>
    <row r="29" spans="1:17" ht="12.75">
      <c r="A29" s="1"/>
      <c r="B29" s="2"/>
      <c r="C29" s="5"/>
      <c r="D29" s="5"/>
      <c r="E29" s="5"/>
      <c r="F29" s="4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1" t="s">
        <v>9</v>
      </c>
      <c r="B30" s="2">
        <v>53</v>
      </c>
      <c r="C30" s="5">
        <v>878.2</v>
      </c>
      <c r="D30" s="5">
        <v>67724.94</v>
      </c>
      <c r="E30" s="5">
        <v>70784.39</v>
      </c>
      <c r="F30" s="40">
        <f>E30*100/D30</f>
        <v>104.51746431964354</v>
      </c>
      <c r="G30" s="5">
        <f>H30+O30</f>
        <v>54665.740000000005</v>
      </c>
      <c r="H30" s="18">
        <f>108112.74-68200</f>
        <v>39912.740000000005</v>
      </c>
      <c r="I30" s="5">
        <f>SUM(J30:N30)</f>
        <v>39912.74</v>
      </c>
      <c r="J30" s="18">
        <v>6848.08</v>
      </c>
      <c r="K30" s="18"/>
      <c r="L30" s="18">
        <v>775.46</v>
      </c>
      <c r="M30" s="18">
        <f>17705.42+12711.78</f>
        <v>30417.199999999997</v>
      </c>
      <c r="N30" s="18">
        <v>1872</v>
      </c>
      <c r="O30" s="5">
        <v>14753</v>
      </c>
      <c r="P30" s="5">
        <v>47854.89</v>
      </c>
      <c r="Q30" s="5">
        <v>10876.8</v>
      </c>
    </row>
    <row r="31" spans="1:17" ht="12.75">
      <c r="A31" s="1"/>
      <c r="B31" s="2"/>
      <c r="C31" s="5"/>
      <c r="D31" s="5"/>
      <c r="E31" s="5"/>
      <c r="F31" s="4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1" t="s">
        <v>9</v>
      </c>
      <c r="B32" s="2">
        <v>54</v>
      </c>
      <c r="C32" s="5">
        <v>835.6</v>
      </c>
      <c r="D32" s="5">
        <v>105138.6</v>
      </c>
      <c r="E32" s="5">
        <v>106338.49</v>
      </c>
      <c r="F32" s="40">
        <f>E32*100/D32</f>
        <v>101.14124593631644</v>
      </c>
      <c r="G32" s="5">
        <f>H32+O32</f>
        <v>143204.58000000002</v>
      </c>
      <c r="H32" s="5">
        <f>119640.58</f>
        <v>119640.58</v>
      </c>
      <c r="I32" s="5">
        <f>SUM(J32:N32)</f>
        <v>119640.58234000001</v>
      </c>
      <c r="J32" s="5">
        <v>6902.07</v>
      </c>
      <c r="K32" s="5"/>
      <c r="L32" s="5">
        <v>689.81</v>
      </c>
      <c r="M32" s="5">
        <f>22302.14+87406.56234</f>
        <v>109708.70234</v>
      </c>
      <c r="N32" s="5">
        <v>2340</v>
      </c>
      <c r="O32" s="5">
        <v>23564</v>
      </c>
      <c r="P32" s="5">
        <v>29595.58</v>
      </c>
      <c r="Q32" s="5">
        <v>5888.13</v>
      </c>
    </row>
    <row r="33" spans="1:17" ht="12.75">
      <c r="A33" s="1"/>
      <c r="B33" s="2"/>
      <c r="C33" s="5"/>
      <c r="D33" s="5"/>
      <c r="E33" s="5"/>
      <c r="F33" s="4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1" t="s">
        <v>9</v>
      </c>
      <c r="B34" s="2">
        <v>55</v>
      </c>
      <c r="C34" s="5">
        <v>831.4</v>
      </c>
      <c r="D34" s="5">
        <f>64673.62+80.63</f>
        <v>64754.25</v>
      </c>
      <c r="E34" s="5">
        <f>62494.28+77.91</f>
        <v>62572.19</v>
      </c>
      <c r="F34" s="40">
        <f>E34*100/D34</f>
        <v>96.63024434689615</v>
      </c>
      <c r="G34" s="5">
        <f>H34+O34</f>
        <v>53976.54</v>
      </c>
      <c r="H34" s="5">
        <f>39834.54</f>
        <v>39834.54</v>
      </c>
      <c r="I34" s="5">
        <f>SUM(J34:N34)</f>
        <v>39834.54</v>
      </c>
      <c r="J34" s="5">
        <v>6719.87</v>
      </c>
      <c r="K34" s="5"/>
      <c r="L34" s="5">
        <v>699.75</v>
      </c>
      <c r="M34" s="5">
        <f>18678.86+12332.06</f>
        <v>31010.92</v>
      </c>
      <c r="N34" s="5">
        <v>1404</v>
      </c>
      <c r="O34" s="5">
        <v>14142</v>
      </c>
      <c r="P34" s="5">
        <v>46725</v>
      </c>
      <c r="Q34" s="5">
        <v>14118.364</v>
      </c>
    </row>
    <row r="35" spans="1:17" ht="12.75">
      <c r="A35" s="1"/>
      <c r="B35" s="2"/>
      <c r="C35" s="5"/>
      <c r="D35" s="5"/>
      <c r="E35" s="5"/>
      <c r="F35" s="40"/>
      <c r="G35" s="5"/>
      <c r="H35" s="5"/>
      <c r="I35" s="5"/>
      <c r="J35" s="5"/>
      <c r="K35" s="5"/>
      <c r="L35" s="5"/>
      <c r="M35" s="5"/>
      <c r="N35" s="5"/>
      <c r="O35" s="5"/>
      <c r="P35" s="77"/>
      <c r="Q35" s="77"/>
    </row>
    <row r="36" spans="1:17" ht="12.75">
      <c r="A36" s="1" t="s">
        <v>9</v>
      </c>
      <c r="B36" s="2">
        <v>56</v>
      </c>
      <c r="C36" s="5">
        <v>839.7</v>
      </c>
      <c r="D36" s="5">
        <v>105800.1</v>
      </c>
      <c r="E36" s="5">
        <v>105267.19</v>
      </c>
      <c r="F36" s="40">
        <f>E36*100/D36</f>
        <v>99.49630482390847</v>
      </c>
      <c r="G36" s="5">
        <f>H36+O36</f>
        <v>109643.71</v>
      </c>
      <c r="H36" s="5">
        <f>1500+84463.71</f>
        <v>85963.71</v>
      </c>
      <c r="I36" s="5">
        <f>SUM(J36:N36)</f>
        <v>85963.71</v>
      </c>
      <c r="J36" s="5">
        <v>6935.91</v>
      </c>
      <c r="K36" s="5"/>
      <c r="L36" s="5">
        <v>699.75</v>
      </c>
      <c r="M36" s="5">
        <f>56024.81+17995.24+1500</f>
        <v>75520.05</v>
      </c>
      <c r="N36" s="5">
        <v>2808</v>
      </c>
      <c r="O36" s="5">
        <v>23680</v>
      </c>
      <c r="P36" s="5">
        <v>38088.54</v>
      </c>
      <c r="Q36" s="5">
        <v>12128.42</v>
      </c>
    </row>
    <row r="37" spans="1:17" ht="12.75">
      <c r="A37" s="1"/>
      <c r="B37" s="2"/>
      <c r="C37" s="5"/>
      <c r="D37" s="5"/>
      <c r="E37" s="5"/>
      <c r="F37" s="4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1" t="s">
        <v>9</v>
      </c>
      <c r="B38" s="2">
        <v>57</v>
      </c>
      <c r="C38" s="5">
        <v>821.5</v>
      </c>
      <c r="D38" s="5">
        <v>64678.2</v>
      </c>
      <c r="E38" s="5">
        <v>60702.66</v>
      </c>
      <c r="F38" s="40">
        <f>E38*100/D38</f>
        <v>93.85335398944312</v>
      </c>
      <c r="G38" s="5">
        <f>H38+O38</f>
        <v>54376.9</v>
      </c>
      <c r="H38" s="5">
        <f>40574.9</f>
        <v>40574.9</v>
      </c>
      <c r="I38" s="5">
        <f>SUM(J38:N38)</f>
        <v>40574.9</v>
      </c>
      <c r="J38" s="5">
        <v>6514.61</v>
      </c>
      <c r="K38" s="5"/>
      <c r="L38" s="5">
        <v>683.39</v>
      </c>
      <c r="M38" s="5">
        <f>19548.93+12774.97</f>
        <v>32323.9</v>
      </c>
      <c r="N38" s="5">
        <v>1053</v>
      </c>
      <c r="O38" s="5">
        <v>13802</v>
      </c>
      <c r="P38" s="5">
        <v>43399.62</v>
      </c>
      <c r="Q38" s="5">
        <v>16336.76</v>
      </c>
    </row>
    <row r="39" spans="1:17" ht="12.75">
      <c r="A39" s="1"/>
      <c r="B39" s="2"/>
      <c r="C39" s="5"/>
      <c r="D39" s="5"/>
      <c r="E39" s="5"/>
      <c r="F39" s="4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1" t="s">
        <v>9</v>
      </c>
      <c r="B40" s="2" t="s">
        <v>12</v>
      </c>
      <c r="C40" s="5">
        <v>837.4</v>
      </c>
      <c r="D40" s="5">
        <v>65359.28</v>
      </c>
      <c r="E40" s="5">
        <v>61064.6</v>
      </c>
      <c r="F40" s="40">
        <f>E40*100/D40</f>
        <v>93.42911978222527</v>
      </c>
      <c r="G40" s="5">
        <f>H40+O40</f>
        <v>53146.49</v>
      </c>
      <c r="H40" s="5">
        <f>39078.49</f>
        <v>39078.49</v>
      </c>
      <c r="I40" s="5">
        <f>SUM(J40:N40)</f>
        <v>39078.49</v>
      </c>
      <c r="J40" s="5">
        <v>6640.57</v>
      </c>
      <c r="K40" s="5"/>
      <c r="L40" s="5">
        <v>628.14</v>
      </c>
      <c r="M40" s="5">
        <f>13657.38+16748.4</f>
        <v>30405.78</v>
      </c>
      <c r="N40" s="5">
        <v>1404</v>
      </c>
      <c r="O40" s="5">
        <v>14068</v>
      </c>
      <c r="P40" s="5">
        <v>48498.57</v>
      </c>
      <c r="Q40" s="5">
        <v>19651.48</v>
      </c>
    </row>
    <row r="41" spans="1:17" ht="12.75">
      <c r="A41" s="1"/>
      <c r="B41" s="2"/>
      <c r="C41" s="5"/>
      <c r="D41" s="5"/>
      <c r="E41" s="5"/>
      <c r="F41" s="4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1" t="s">
        <v>9</v>
      </c>
      <c r="B42" s="2">
        <v>58</v>
      </c>
      <c r="C42" s="5">
        <v>850.9</v>
      </c>
      <c r="D42" s="5">
        <v>106982.49</v>
      </c>
      <c r="E42" s="5">
        <v>104958.31</v>
      </c>
      <c r="F42" s="40">
        <f>E42*100/D42</f>
        <v>98.10793336367475</v>
      </c>
      <c r="G42" s="5">
        <f>H42+O42</f>
        <v>144566.03999999998</v>
      </c>
      <c r="H42" s="5">
        <f>120570.04</f>
        <v>120570.04</v>
      </c>
      <c r="I42" s="5">
        <f>SUM(J42:N42)</f>
        <v>120570.04000000001</v>
      </c>
      <c r="J42" s="5">
        <v>7028.66</v>
      </c>
      <c r="K42" s="5"/>
      <c r="L42" s="5">
        <v>699.75</v>
      </c>
      <c r="M42" s="5">
        <f>52407.03+57626.6</f>
        <v>110033.63</v>
      </c>
      <c r="N42" s="5">
        <v>2808</v>
      </c>
      <c r="O42" s="5">
        <v>23996</v>
      </c>
      <c r="P42" s="5">
        <v>37411.2</v>
      </c>
      <c r="Q42" s="5">
        <v>5185.77</v>
      </c>
    </row>
    <row r="43" spans="1:17" ht="12.75">
      <c r="A43" s="1"/>
      <c r="B43" s="2"/>
      <c r="C43" s="5"/>
      <c r="D43" s="5"/>
      <c r="E43" s="5"/>
      <c r="F43" s="4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1" t="s">
        <v>9</v>
      </c>
      <c r="B44" s="2">
        <v>59</v>
      </c>
      <c r="C44" s="5">
        <v>843.8</v>
      </c>
      <c r="D44" s="5">
        <v>100956.48</v>
      </c>
      <c r="E44" s="5">
        <v>99183.28</v>
      </c>
      <c r="F44" s="40">
        <f>E44*100/D44</f>
        <v>98.24359961837021</v>
      </c>
      <c r="G44" s="5">
        <f>H44+O44</f>
        <v>92916.87</v>
      </c>
      <c r="H44" s="5">
        <f>69104.87</f>
        <v>69104.87</v>
      </c>
      <c r="I44" s="5">
        <f>SUM(J44:N44)</f>
        <v>69104.87</v>
      </c>
      <c r="J44" s="5">
        <v>6974.73</v>
      </c>
      <c r="K44" s="5"/>
      <c r="L44" s="5">
        <v>702.24</v>
      </c>
      <c r="M44" s="5">
        <f>46900.91+12186.99</f>
        <v>59087.9</v>
      </c>
      <c r="N44" s="5">
        <v>2340</v>
      </c>
      <c r="O44" s="5">
        <v>23812</v>
      </c>
      <c r="P44" s="5">
        <v>44619.84</v>
      </c>
      <c r="Q44" s="5">
        <v>16561.18</v>
      </c>
    </row>
    <row r="45" spans="1:17" ht="12.75">
      <c r="A45" s="1"/>
      <c r="B45" s="2"/>
      <c r="C45" s="5"/>
      <c r="D45" s="5"/>
      <c r="E45" s="5"/>
      <c r="F45" s="4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1" t="s">
        <v>9</v>
      </c>
      <c r="B46" s="2" t="s">
        <v>13</v>
      </c>
      <c r="C46" s="5">
        <v>1147</v>
      </c>
      <c r="D46" s="5">
        <v>133732.76</v>
      </c>
      <c r="E46" s="5">
        <v>136171.84</v>
      </c>
      <c r="F46" s="40">
        <f>E46*100/D46</f>
        <v>101.82384630362822</v>
      </c>
      <c r="G46" s="5">
        <f>H46+O46</f>
        <v>110660.95</v>
      </c>
      <c r="H46" s="5">
        <v>91157.95</v>
      </c>
      <c r="I46" s="5">
        <f>SUM(J46:N46)</f>
        <v>91157.95000000001</v>
      </c>
      <c r="J46" s="5">
        <v>9561.79</v>
      </c>
      <c r="K46" s="5">
        <v>1106</v>
      </c>
      <c r="L46" s="5"/>
      <c r="M46" s="5">
        <f>13284.83+67205.33</f>
        <v>80490.16</v>
      </c>
      <c r="N46" s="5"/>
      <c r="O46" s="5">
        <v>19503</v>
      </c>
      <c r="P46" s="5">
        <v>137337.6</v>
      </c>
      <c r="Q46" s="5">
        <v>69107.6</v>
      </c>
    </row>
    <row r="47" spans="1:17" ht="12.75">
      <c r="A47" s="1"/>
      <c r="B47" s="2"/>
      <c r="C47" s="5"/>
      <c r="D47" s="5"/>
      <c r="E47" s="5"/>
      <c r="F47" s="4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1" t="s">
        <v>9</v>
      </c>
      <c r="B48" s="2">
        <v>60</v>
      </c>
      <c r="C48" s="5">
        <v>617.8</v>
      </c>
      <c r="D48" s="5">
        <v>73938.37</v>
      </c>
      <c r="E48" s="5">
        <v>70558.38</v>
      </c>
      <c r="F48" s="40">
        <f>E48*100/D48</f>
        <v>95.42863874332096</v>
      </c>
      <c r="G48" s="5">
        <f>H48+O48</f>
        <v>98083.28</v>
      </c>
      <c r="H48" s="5">
        <f>80582.28</f>
        <v>80582.28</v>
      </c>
      <c r="I48" s="5">
        <f>SUM(J48:N48)</f>
        <v>80582.28000000001</v>
      </c>
      <c r="J48" s="5">
        <v>5126.17</v>
      </c>
      <c r="K48" s="5"/>
      <c r="L48" s="5">
        <v>510.29</v>
      </c>
      <c r="M48" s="5">
        <f>62231.43+10374.39</f>
        <v>72605.82</v>
      </c>
      <c r="N48" s="5">
        <v>2340</v>
      </c>
      <c r="O48" s="5">
        <v>17501</v>
      </c>
      <c r="P48" s="5">
        <v>26079.85</v>
      </c>
      <c r="Q48" s="5">
        <v>0</v>
      </c>
    </row>
    <row r="49" spans="1:17" ht="12.75">
      <c r="A49" s="1"/>
      <c r="B49" s="2"/>
      <c r="C49" s="5"/>
      <c r="D49" s="5"/>
      <c r="E49" s="5"/>
      <c r="F49" s="40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1" t="s">
        <v>9</v>
      </c>
      <c r="B50" s="2">
        <v>61</v>
      </c>
      <c r="C50" s="5">
        <v>1303</v>
      </c>
      <c r="D50" s="5">
        <v>148854.72</v>
      </c>
      <c r="E50" s="5">
        <v>134712.81</v>
      </c>
      <c r="F50" s="40">
        <f>E50*100/D50</f>
        <v>90.49952194999258</v>
      </c>
      <c r="G50" s="5">
        <f>H50+O50</f>
        <v>168515.82</v>
      </c>
      <c r="H50" s="5">
        <f>135523.82</f>
        <v>135523.82</v>
      </c>
      <c r="I50" s="5">
        <f>SUM(J50:N50)</f>
        <v>135523.82</v>
      </c>
      <c r="J50" s="5">
        <v>10814.9</v>
      </c>
      <c r="K50" s="5">
        <v>989.8</v>
      </c>
      <c r="L50" s="5">
        <v>1105.1</v>
      </c>
      <c r="M50" s="5">
        <f>121444.02+0</f>
        <v>121444.02</v>
      </c>
      <c r="N50" s="5">
        <v>1170</v>
      </c>
      <c r="O50" s="5">
        <v>32992</v>
      </c>
      <c r="P50" s="5">
        <v>208189.41</v>
      </c>
      <c r="Q50" s="5">
        <v>136321.72</v>
      </c>
    </row>
    <row r="51" spans="1:17" ht="12.75">
      <c r="A51" s="1"/>
      <c r="B51" s="2"/>
      <c r="C51" s="5"/>
      <c r="D51" s="5"/>
      <c r="E51" s="5"/>
      <c r="F51" s="4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1" t="s">
        <v>9</v>
      </c>
      <c r="B52" s="2">
        <v>62</v>
      </c>
      <c r="C52" s="5">
        <v>860.4</v>
      </c>
      <c r="D52" s="5">
        <v>104151.45</v>
      </c>
      <c r="E52" s="5">
        <v>102158.5</v>
      </c>
      <c r="F52" s="40">
        <f>E52*100/D52</f>
        <v>98.08648847423632</v>
      </c>
      <c r="G52" s="5">
        <f>H52+O52</f>
        <v>131371</v>
      </c>
      <c r="H52" s="5">
        <f>107108</f>
        <v>107108</v>
      </c>
      <c r="I52" s="5">
        <f>SUM(J52:N52)</f>
        <v>107108.11</v>
      </c>
      <c r="J52" s="5">
        <v>7107</v>
      </c>
      <c r="K52" s="5">
        <v>0</v>
      </c>
      <c r="L52" s="5">
        <v>619.24</v>
      </c>
      <c r="M52" s="5">
        <f>40305.02+56268.85</f>
        <v>96573.87</v>
      </c>
      <c r="N52" s="5">
        <v>2808</v>
      </c>
      <c r="O52" s="5">
        <v>24263</v>
      </c>
      <c r="P52" s="5">
        <v>58901.59</v>
      </c>
      <c r="Q52" s="5">
        <v>18204.36</v>
      </c>
    </row>
    <row r="53" spans="1:17" ht="12.75">
      <c r="A53" s="1"/>
      <c r="B53" s="2"/>
      <c r="C53" s="5"/>
      <c r="D53" s="5"/>
      <c r="E53" s="5"/>
      <c r="F53" s="4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1" t="s">
        <v>1</v>
      </c>
      <c r="B54" s="2" t="s">
        <v>8</v>
      </c>
      <c r="C54" s="5">
        <v>1232.1</v>
      </c>
      <c r="D54" s="5">
        <v>104754.36</v>
      </c>
      <c r="E54" s="5">
        <v>98336.81</v>
      </c>
      <c r="F54" s="40">
        <f>E54*100/D54</f>
        <v>93.87371561431905</v>
      </c>
      <c r="G54" s="5">
        <f>H54+O54</f>
        <v>99501.14</v>
      </c>
      <c r="H54" s="5">
        <f>78803.14</f>
        <v>78803.14</v>
      </c>
      <c r="I54" s="5">
        <f>SUM(J54:N54)</f>
        <v>78803.14000000001</v>
      </c>
      <c r="J54" s="5">
        <v>10176.68</v>
      </c>
      <c r="K54" s="5"/>
      <c r="L54" s="5"/>
      <c r="M54" s="5">
        <f>13749.24+54877.22</f>
        <v>68626.46</v>
      </c>
      <c r="N54" s="5"/>
      <c r="O54" s="5">
        <v>20698</v>
      </c>
      <c r="P54" s="18">
        <v>154263.09</v>
      </c>
      <c r="Q54" s="18">
        <v>82621.48</v>
      </c>
    </row>
    <row r="55" spans="1:17" ht="12.75">
      <c r="A55" s="1"/>
      <c r="B55" s="2"/>
      <c r="C55" s="5"/>
      <c r="D55" s="5"/>
      <c r="E55" s="5"/>
      <c r="F55" s="40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1" t="s">
        <v>9</v>
      </c>
      <c r="B56" s="2">
        <v>63</v>
      </c>
      <c r="C56" s="5">
        <v>2238.4</v>
      </c>
      <c r="D56" s="5">
        <v>281893.68</v>
      </c>
      <c r="E56" s="5">
        <v>272656.76</v>
      </c>
      <c r="F56" s="40">
        <f>E56*100/D56</f>
        <v>96.72326105360007</v>
      </c>
      <c r="G56" s="5">
        <f>H56+O56</f>
        <v>348431.15</v>
      </c>
      <c r="H56" s="18">
        <f>217108.15+68200</f>
        <v>285308.15</v>
      </c>
      <c r="I56" s="5">
        <f>SUM(J56:N56)</f>
        <v>285308.14999999997</v>
      </c>
      <c r="J56" s="18">
        <v>18489.29</v>
      </c>
      <c r="K56" s="18">
        <v>957.6</v>
      </c>
      <c r="L56" s="18">
        <v>1757.27</v>
      </c>
      <c r="M56" s="18">
        <f>240257.46+19166.53</f>
        <v>259423.99</v>
      </c>
      <c r="N56" s="18">
        <v>4680</v>
      </c>
      <c r="O56" s="5">
        <v>63123</v>
      </c>
      <c r="P56" s="5">
        <v>115445.35</v>
      </c>
      <c r="Q56" s="5">
        <v>25375.05</v>
      </c>
    </row>
    <row r="57" spans="1:17" ht="12.75">
      <c r="A57" s="1"/>
      <c r="B57" s="2"/>
      <c r="C57" s="5"/>
      <c r="D57" s="5"/>
      <c r="E57" s="5"/>
      <c r="F57" s="4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1" t="s">
        <v>9</v>
      </c>
      <c r="B58" s="2">
        <v>64</v>
      </c>
      <c r="C58" s="5">
        <v>815</v>
      </c>
      <c r="D58" s="5">
        <v>99227.68</v>
      </c>
      <c r="E58" s="5">
        <v>97625.97</v>
      </c>
      <c r="F58" s="40">
        <f>E58*100/D58</f>
        <v>98.38582339121504</v>
      </c>
      <c r="G58" s="5">
        <f>H58+O58</f>
        <v>67242.89</v>
      </c>
      <c r="H58" s="5">
        <f>44141.89</f>
        <v>44141.89</v>
      </c>
      <c r="I58" s="5">
        <f>SUM(J58:N58)</f>
        <v>44141.89</v>
      </c>
      <c r="J58" s="5">
        <v>6766.58</v>
      </c>
      <c r="K58" s="5">
        <v>844.2</v>
      </c>
      <c r="L58" s="5">
        <v>702.24</v>
      </c>
      <c r="M58" s="5">
        <f>13501.87+21157</f>
        <v>34658.87</v>
      </c>
      <c r="N58" s="5">
        <v>1170</v>
      </c>
      <c r="O58" s="5">
        <v>23101</v>
      </c>
      <c r="P58" s="5">
        <v>44951.76</v>
      </c>
      <c r="Q58" s="5">
        <v>7456.1</v>
      </c>
    </row>
    <row r="59" spans="1:17" ht="12.75">
      <c r="A59" s="7"/>
      <c r="B59" s="8"/>
      <c r="C59" s="6"/>
      <c r="D59" s="6"/>
      <c r="E59" s="6"/>
      <c r="F59" s="37"/>
      <c r="G59" s="5"/>
      <c r="H59" s="6"/>
      <c r="I59" s="5"/>
      <c r="J59" s="6"/>
      <c r="K59" s="6"/>
      <c r="L59" s="6"/>
      <c r="M59" s="6"/>
      <c r="N59" s="6"/>
      <c r="O59" s="6"/>
      <c r="P59" s="6"/>
      <c r="Q59" s="6"/>
    </row>
    <row r="60" spans="1:17" ht="12.75">
      <c r="A60" s="1" t="s">
        <v>9</v>
      </c>
      <c r="B60" s="8" t="s">
        <v>21</v>
      </c>
      <c r="C60" s="6">
        <v>1135</v>
      </c>
      <c r="D60" s="6">
        <f>133550.3+404.6</f>
        <v>133954.9</v>
      </c>
      <c r="E60" s="6">
        <f>124045.1+434.71</f>
        <v>124479.81000000001</v>
      </c>
      <c r="F60" s="37">
        <f>E60*100/D60</f>
        <v>92.92665665832308</v>
      </c>
      <c r="G60" s="5">
        <f>H60+O60</f>
        <v>135841.91</v>
      </c>
      <c r="H60" s="13">
        <f>106031.91</f>
        <v>106031.91</v>
      </c>
      <c r="I60" s="5">
        <f>SUM(J60:N60)</f>
        <v>106031.91</v>
      </c>
      <c r="J60" s="13">
        <v>9794.94</v>
      </c>
      <c r="K60" s="13"/>
      <c r="L60" s="13"/>
      <c r="M60" s="13">
        <v>96236.97</v>
      </c>
      <c r="N60" s="13"/>
      <c r="O60" s="13">
        <v>29810</v>
      </c>
      <c r="P60" s="5">
        <v>145079.83</v>
      </c>
      <c r="Q60" s="5">
        <v>77618.05</v>
      </c>
    </row>
    <row r="61" spans="1:17" ht="12.75">
      <c r="A61" s="1"/>
      <c r="B61" s="2"/>
      <c r="C61" s="5"/>
      <c r="D61" s="5"/>
      <c r="E61" s="5"/>
      <c r="F61" s="3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1" t="s">
        <v>9</v>
      </c>
      <c r="B62" s="2">
        <v>65</v>
      </c>
      <c r="C62" s="5">
        <v>3330.3</v>
      </c>
      <c r="D62" s="5">
        <v>339163.6</v>
      </c>
      <c r="E62" s="5">
        <v>341254.87</v>
      </c>
      <c r="F62" s="37">
        <f>E62*100/D62</f>
        <v>100.61659623851145</v>
      </c>
      <c r="G62" s="5">
        <f>H62+O62</f>
        <v>332666.02</v>
      </c>
      <c r="H62" s="5">
        <f>258733.02</f>
        <v>258733.02</v>
      </c>
      <c r="I62" s="5">
        <f>SUM(J62:N62)</f>
        <v>258733.02000000002</v>
      </c>
      <c r="J62" s="5">
        <v>27624.05</v>
      </c>
      <c r="K62" s="5">
        <v>1229.2</v>
      </c>
      <c r="L62" s="5">
        <v>2725.16</v>
      </c>
      <c r="M62" s="5">
        <f>19423.79+182705.41+25025.41</f>
        <v>227154.61000000002</v>
      </c>
      <c r="N62" s="5"/>
      <c r="O62" s="5">
        <v>73933</v>
      </c>
      <c r="P62" s="5">
        <v>166486.35</v>
      </c>
      <c r="Q62" s="5">
        <v>33515.31</v>
      </c>
    </row>
    <row r="63" spans="1:17" ht="12.75">
      <c r="A63" s="1"/>
      <c r="B63" s="2"/>
      <c r="C63" s="5"/>
      <c r="D63" s="5"/>
      <c r="E63" s="5"/>
      <c r="F63" s="4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1" t="s">
        <v>9</v>
      </c>
      <c r="B64" s="2">
        <v>66</v>
      </c>
      <c r="C64" s="5">
        <v>568.1</v>
      </c>
      <c r="D64" s="5">
        <v>69262.78</v>
      </c>
      <c r="E64" s="5">
        <v>67848.5</v>
      </c>
      <c r="F64" s="40">
        <f>E64*100/D64</f>
        <v>97.95809524249532</v>
      </c>
      <c r="G64" s="5">
        <f>H64+O64</f>
        <v>43798.630000000005</v>
      </c>
      <c r="H64" s="5">
        <f>27778.63</f>
        <v>27778.63</v>
      </c>
      <c r="I64" s="5">
        <f>SUM(J64:N64)</f>
        <v>27778.630000000005</v>
      </c>
      <c r="J64" s="5">
        <v>4692.52</v>
      </c>
      <c r="K64" s="5"/>
      <c r="L64" s="5">
        <v>483.42</v>
      </c>
      <c r="M64" s="5">
        <f>12559.87+8170.82</f>
        <v>20730.690000000002</v>
      </c>
      <c r="N64" s="5">
        <v>1872</v>
      </c>
      <c r="O64" s="5">
        <v>16020</v>
      </c>
      <c r="P64" s="5">
        <v>21150.65</v>
      </c>
      <c r="Q64" s="5">
        <v>5635.57</v>
      </c>
    </row>
    <row r="65" spans="1:17" ht="12.75">
      <c r="A65" s="1"/>
      <c r="B65" s="2"/>
      <c r="C65" s="5"/>
      <c r="D65" s="5"/>
      <c r="E65" s="5"/>
      <c r="F65" s="4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1" t="s">
        <v>9</v>
      </c>
      <c r="B66" s="2">
        <v>67</v>
      </c>
      <c r="C66" s="5">
        <v>3226.1</v>
      </c>
      <c r="D66" s="5">
        <v>329103</v>
      </c>
      <c r="E66" s="5">
        <v>318798.24</v>
      </c>
      <c r="F66" s="40">
        <f>E66*100/D66</f>
        <v>96.86883437707952</v>
      </c>
      <c r="G66" s="5">
        <f>H66+O66</f>
        <v>316626.05</v>
      </c>
      <c r="H66" s="5">
        <v>245007.05</v>
      </c>
      <c r="I66" s="5">
        <f>SUM(J66:N66)</f>
        <v>245007.05</v>
      </c>
      <c r="J66" s="5">
        <v>26779.95</v>
      </c>
      <c r="K66" s="5">
        <v>1304.8</v>
      </c>
      <c r="L66" s="5">
        <v>2599.81</v>
      </c>
      <c r="M66" s="5">
        <f>20511.38+193811.11</f>
        <v>214322.49</v>
      </c>
      <c r="N66" s="5"/>
      <c r="O66" s="5">
        <v>71619</v>
      </c>
      <c r="P66" s="5">
        <v>131350.37</v>
      </c>
      <c r="Q66" s="5">
        <v>21245.41</v>
      </c>
    </row>
    <row r="67" spans="1:17" ht="12.75">
      <c r="A67" s="1"/>
      <c r="B67" s="2"/>
      <c r="C67" s="5"/>
      <c r="D67" s="5"/>
      <c r="E67" s="5"/>
      <c r="F67" s="4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1" t="s">
        <v>9</v>
      </c>
      <c r="B68" s="2">
        <v>68</v>
      </c>
      <c r="C68" s="5">
        <v>854</v>
      </c>
      <c r="D68" s="5">
        <v>104123.37</v>
      </c>
      <c r="E68" s="5">
        <v>104314.15</v>
      </c>
      <c r="F68" s="40">
        <f>E68*100/D68</f>
        <v>100.18322495708696</v>
      </c>
      <c r="G68" s="5">
        <f>H68+O68</f>
        <v>137624.66999999998</v>
      </c>
      <c r="H68" s="5">
        <f>33000+80542.67</f>
        <v>113542.67</v>
      </c>
      <c r="I68" s="5">
        <f>SUM(J68:N68)</f>
        <v>113542.67</v>
      </c>
      <c r="J68" s="5">
        <v>7087.84</v>
      </c>
      <c r="K68" s="5">
        <v>252</v>
      </c>
      <c r="L68" s="5">
        <v>719.64</v>
      </c>
      <c r="M68" s="5">
        <f>55772.97+13902.22+33000</f>
        <v>102675.19</v>
      </c>
      <c r="N68" s="5">
        <v>2808</v>
      </c>
      <c r="O68" s="5">
        <v>24082</v>
      </c>
      <c r="P68" s="5">
        <v>31312.49</v>
      </c>
      <c r="Q68" s="5">
        <v>3709.94</v>
      </c>
    </row>
    <row r="69" spans="1:17" ht="12.75">
      <c r="A69" s="1"/>
      <c r="B69" s="2"/>
      <c r="C69" s="5"/>
      <c r="D69" s="5"/>
      <c r="E69" s="5"/>
      <c r="F69" s="4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1" t="s">
        <v>9</v>
      </c>
      <c r="B70" s="2">
        <v>69</v>
      </c>
      <c r="C70" s="5">
        <v>3277.4</v>
      </c>
      <c r="D70" s="5">
        <v>334236.48</v>
      </c>
      <c r="E70" s="5">
        <v>326873.88</v>
      </c>
      <c r="F70" s="40">
        <f>E70*100/D70</f>
        <v>97.79718838589972</v>
      </c>
      <c r="G70" s="5">
        <f>H70+O70</f>
        <v>560091.25</v>
      </c>
      <c r="H70" s="5">
        <f>487346.25</f>
        <v>487346.25</v>
      </c>
      <c r="I70" s="5">
        <f>SUM(J70:N70)</f>
        <v>487346.25000000006</v>
      </c>
      <c r="J70" s="5">
        <v>27197.21</v>
      </c>
      <c r="K70" s="5">
        <v>1183</v>
      </c>
      <c r="L70" s="5">
        <v>2725.16</v>
      </c>
      <c r="M70" s="5">
        <f>38886.84+328620.09+88733.95</f>
        <v>456240.88000000006</v>
      </c>
      <c r="N70" s="5"/>
      <c r="O70" s="5">
        <v>72745</v>
      </c>
      <c r="P70" s="5">
        <v>159201.61</v>
      </c>
      <c r="Q70" s="5">
        <v>17423.6</v>
      </c>
    </row>
    <row r="71" spans="1:17" ht="12.75">
      <c r="A71" s="1"/>
      <c r="B71" s="2"/>
      <c r="C71" s="5"/>
      <c r="D71" s="5"/>
      <c r="E71" s="5"/>
      <c r="F71" s="4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1" t="s">
        <v>9</v>
      </c>
      <c r="B72" s="2">
        <v>70</v>
      </c>
      <c r="C72" s="5">
        <v>1280.5</v>
      </c>
      <c r="D72" s="5">
        <v>145786.92</v>
      </c>
      <c r="E72" s="5">
        <v>132212.33</v>
      </c>
      <c r="F72" s="40">
        <f>E72*100/D72</f>
        <v>90.68874628807575</v>
      </c>
      <c r="G72" s="5">
        <f>H72+O72</f>
        <v>91637.26999999999</v>
      </c>
      <c r="H72" s="5">
        <f>59216.27</f>
        <v>59216.27</v>
      </c>
      <c r="I72" s="5">
        <f>SUM(J72:N72)</f>
        <v>59216.27</v>
      </c>
      <c r="J72" s="5">
        <v>10637.05</v>
      </c>
      <c r="K72" s="5">
        <v>921.2</v>
      </c>
      <c r="L72" s="5">
        <v>1056.43</v>
      </c>
      <c r="M72" s="5">
        <f>44612.59</f>
        <v>44612.59</v>
      </c>
      <c r="N72" s="5">
        <v>1989</v>
      </c>
      <c r="O72" s="5">
        <v>32421</v>
      </c>
      <c r="P72" s="5">
        <v>104188.29</v>
      </c>
      <c r="Q72" s="5">
        <v>174456.9</v>
      </c>
    </row>
    <row r="73" spans="1:17" ht="12.75">
      <c r="A73" s="1"/>
      <c r="B73" s="2"/>
      <c r="C73" s="5"/>
      <c r="D73" s="5"/>
      <c r="E73" s="5"/>
      <c r="F73" s="4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1" t="s">
        <v>9</v>
      </c>
      <c r="B74" s="2">
        <v>71</v>
      </c>
      <c r="C74" s="5">
        <v>3256.4</v>
      </c>
      <c r="D74" s="5">
        <v>332224.44</v>
      </c>
      <c r="E74" s="5">
        <v>325585.26</v>
      </c>
      <c r="F74" s="40">
        <f>E74*100/D74</f>
        <v>98.00159795588789</v>
      </c>
      <c r="G74" s="5">
        <f>H74+O74</f>
        <v>364408.88</v>
      </c>
      <c r="H74" s="5">
        <f>292113.88</f>
        <v>292113.88</v>
      </c>
      <c r="I74" s="5">
        <f>SUM(J74:N74)</f>
        <v>292113.87999999995</v>
      </c>
      <c r="J74" s="5">
        <v>27033.94</v>
      </c>
      <c r="K74" s="5">
        <v>1304.8</v>
      </c>
      <c r="L74" s="5">
        <v>2624.67</v>
      </c>
      <c r="M74" s="5">
        <f>24114.65+149571.62+87464.2</f>
        <v>261150.46999999997</v>
      </c>
      <c r="N74" s="5"/>
      <c r="O74" s="5">
        <v>72295</v>
      </c>
      <c r="P74" s="5">
        <v>141482.59</v>
      </c>
      <c r="Q74" s="5">
        <v>22510.63</v>
      </c>
    </row>
    <row r="75" spans="1:17" ht="12.75">
      <c r="A75" s="1"/>
      <c r="B75" s="2"/>
      <c r="C75" s="5"/>
      <c r="D75" s="5"/>
      <c r="E75" s="5"/>
      <c r="F75" s="4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1" t="s">
        <v>9</v>
      </c>
      <c r="B76" s="2">
        <v>72</v>
      </c>
      <c r="C76" s="5">
        <v>1515.1</v>
      </c>
      <c r="D76" s="5">
        <f>147712.65+17170.14</f>
        <v>164882.78999999998</v>
      </c>
      <c r="E76" s="5">
        <f>149932.3+15094.91</f>
        <v>165027.21</v>
      </c>
      <c r="F76" s="40">
        <f>E76*100/D76</f>
        <v>100.08758949311813</v>
      </c>
      <c r="G76" s="5">
        <f>H76+O76</f>
        <v>114038.13</v>
      </c>
      <c r="H76" s="5">
        <f>75813.13</f>
        <v>75813.13</v>
      </c>
      <c r="I76" s="5">
        <f>SUM(J76:N76)</f>
        <v>75813.13</v>
      </c>
      <c r="J76" s="5">
        <f>12530.41</f>
        <v>12530.41</v>
      </c>
      <c r="K76" s="5">
        <v>940.8</v>
      </c>
      <c r="L76" s="5">
        <v>1217.06</v>
      </c>
      <c r="M76" s="5">
        <v>59252.86</v>
      </c>
      <c r="N76" s="5">
        <v>1872</v>
      </c>
      <c r="O76" s="5">
        <v>38225</v>
      </c>
      <c r="P76" s="5">
        <f>161547.87+50881.22</f>
        <v>212429.09</v>
      </c>
      <c r="Q76" s="5">
        <f>83350.41+46291.06</f>
        <v>129641.47</v>
      </c>
    </row>
    <row r="77" spans="1:17" ht="12.75">
      <c r="A77" s="1"/>
      <c r="B77" s="2"/>
      <c r="C77" s="5"/>
      <c r="D77" s="5"/>
      <c r="E77" s="5"/>
      <c r="F77" s="4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1" t="s">
        <v>9</v>
      </c>
      <c r="B78" s="2">
        <v>73</v>
      </c>
      <c r="C78" s="5">
        <v>3315.5</v>
      </c>
      <c r="D78" s="5">
        <v>338106.72</v>
      </c>
      <c r="E78" s="5">
        <v>342459.17</v>
      </c>
      <c r="F78" s="40">
        <f>E78*100/D78</f>
        <v>101.28730064874192</v>
      </c>
      <c r="G78" s="5">
        <f>H78+O78</f>
        <v>307205.58999999997</v>
      </c>
      <c r="H78" s="5">
        <f>233602.59</f>
        <v>233602.59</v>
      </c>
      <c r="I78" s="5">
        <f>SUM(J78:N78)</f>
        <v>233602.59</v>
      </c>
      <c r="J78" s="5">
        <v>27512.61</v>
      </c>
      <c r="K78" s="5">
        <v>1286.6</v>
      </c>
      <c r="L78" s="5">
        <v>2708.72</v>
      </c>
      <c r="M78" s="5">
        <f>177862.88+24231.78</f>
        <v>202094.66</v>
      </c>
      <c r="N78" s="5"/>
      <c r="O78" s="5">
        <v>73603</v>
      </c>
      <c r="P78" s="5">
        <v>197719.55</v>
      </c>
      <c r="Q78" s="5">
        <v>45824.58</v>
      </c>
    </row>
    <row r="79" spans="1:17" ht="12.75">
      <c r="A79" s="1"/>
      <c r="B79" s="2"/>
      <c r="C79" s="5"/>
      <c r="D79" s="5"/>
      <c r="E79" s="5"/>
      <c r="F79" s="4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1" t="s">
        <v>9</v>
      </c>
      <c r="B80" s="2">
        <v>74</v>
      </c>
      <c r="C80" s="5">
        <v>3771.4</v>
      </c>
      <c r="D80" s="5">
        <v>417278.12</v>
      </c>
      <c r="E80" s="5">
        <v>417418</v>
      </c>
      <c r="F80" s="40">
        <f>E80*100/D80</f>
        <v>100.0335220068572</v>
      </c>
      <c r="G80" s="5">
        <f>H80+O80</f>
        <v>356965.01</v>
      </c>
      <c r="H80" s="5">
        <f>262572.01</f>
        <v>262572.01</v>
      </c>
      <c r="I80" s="5">
        <f>SUM(J80:N80)</f>
        <v>262572.01</v>
      </c>
      <c r="J80" s="5">
        <v>30942.4</v>
      </c>
      <c r="K80" s="5">
        <v>2139.2</v>
      </c>
      <c r="L80" s="5">
        <v>3154.12</v>
      </c>
      <c r="M80" s="5">
        <f>194196.91+32139.38</f>
        <v>226336.29</v>
      </c>
      <c r="N80" s="5"/>
      <c r="O80" s="5">
        <v>94393</v>
      </c>
      <c r="P80" s="5">
        <v>205360.94</v>
      </c>
      <c r="Q80" s="5">
        <v>41222.36</v>
      </c>
    </row>
    <row r="81" spans="1:17" ht="12.75">
      <c r="A81" s="1"/>
      <c r="B81" s="2"/>
      <c r="C81" s="5"/>
      <c r="D81" s="5"/>
      <c r="E81" s="5"/>
      <c r="F81" s="40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1" t="s">
        <v>9</v>
      </c>
      <c r="B82" s="2">
        <v>76</v>
      </c>
      <c r="C82" s="5">
        <v>5998.4</v>
      </c>
      <c r="D82" s="5">
        <v>685189.37</v>
      </c>
      <c r="E82" s="5">
        <v>670984.91</v>
      </c>
      <c r="F82" s="40">
        <f>E82*100/D82</f>
        <v>97.92692931006796</v>
      </c>
      <c r="G82" s="5">
        <f>H82+O82</f>
        <v>455450.3</v>
      </c>
      <c r="H82" s="5">
        <v>303571.3</v>
      </c>
      <c r="I82" s="5">
        <f>SUM(J82:N82)</f>
        <v>303571.3</v>
      </c>
      <c r="J82" s="5">
        <v>49788.39</v>
      </c>
      <c r="K82" s="5">
        <v>2700.6</v>
      </c>
      <c r="L82" s="5">
        <v>5221.35</v>
      </c>
      <c r="M82" s="5">
        <f>50718.25+194594.71+548</f>
        <v>245860.96</v>
      </c>
      <c r="N82" s="5"/>
      <c r="O82" s="5">
        <v>151879</v>
      </c>
      <c r="P82" s="5">
        <v>382184</v>
      </c>
      <c r="Q82" s="5">
        <v>113426.32</v>
      </c>
    </row>
    <row r="83" spans="1:17" ht="12.75">
      <c r="A83" s="1"/>
      <c r="B83" s="2"/>
      <c r="C83" s="5"/>
      <c r="D83" s="5"/>
      <c r="E83" s="5"/>
      <c r="F83" s="40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1" t="s">
        <v>9</v>
      </c>
      <c r="B84" s="2">
        <v>78</v>
      </c>
      <c r="C84" s="5">
        <v>3248.1</v>
      </c>
      <c r="D84" s="5">
        <v>330791.25</v>
      </c>
      <c r="E84" s="5">
        <v>324558.59</v>
      </c>
      <c r="F84" s="40">
        <f>E84*100/D84</f>
        <v>98.11583287042811</v>
      </c>
      <c r="G84" s="5">
        <f>H84+O84</f>
        <v>471798.65</v>
      </c>
      <c r="H84" s="5">
        <f>398134.71+1571.94</f>
        <v>399706.65</v>
      </c>
      <c r="I84" s="5">
        <f>SUM(J84:N84)</f>
        <v>399706.65</v>
      </c>
      <c r="J84" s="5">
        <v>26938.37</v>
      </c>
      <c r="K84" s="5">
        <f>756+1571.94</f>
        <v>2327.94</v>
      </c>
      <c r="L84" s="5">
        <v>2707.19</v>
      </c>
      <c r="M84" s="5">
        <f>152537.94+215195.21</f>
        <v>367733.15</v>
      </c>
      <c r="N84" s="5"/>
      <c r="O84" s="5">
        <v>72092</v>
      </c>
      <c r="P84" s="5">
        <v>240271.96</v>
      </c>
      <c r="Q84" s="5">
        <v>78338.99</v>
      </c>
    </row>
    <row r="85" spans="1:17" ht="12.75">
      <c r="A85" s="1"/>
      <c r="B85" s="2"/>
      <c r="C85" s="5"/>
      <c r="D85" s="5"/>
      <c r="E85" s="5"/>
      <c r="F85" s="4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 t="s">
        <v>9</v>
      </c>
      <c r="B86" s="2">
        <v>80</v>
      </c>
      <c r="C86" s="5">
        <v>3234.7</v>
      </c>
      <c r="D86" s="5">
        <v>329959.47</v>
      </c>
      <c r="E86" s="5">
        <v>333042.11</v>
      </c>
      <c r="F86" s="40">
        <f>E86*100/D86</f>
        <v>100.9342480759834</v>
      </c>
      <c r="G86" s="5">
        <f>H86+O86</f>
        <v>340416.57</v>
      </c>
      <c r="H86" s="5">
        <f>268605.57</f>
        <v>268605.57</v>
      </c>
      <c r="I86" s="5">
        <f>SUM(J86:N86)</f>
        <v>268605.57</v>
      </c>
      <c r="J86" s="5">
        <v>26848.24</v>
      </c>
      <c r="K86" s="5">
        <v>1173.2</v>
      </c>
      <c r="L86" s="5">
        <v>2492.34</v>
      </c>
      <c r="M86" s="5">
        <f>92314.54+17492.98+128284.27</f>
        <v>238091.78999999998</v>
      </c>
      <c r="N86" s="5"/>
      <c r="O86" s="5">
        <v>71811</v>
      </c>
      <c r="P86" s="5">
        <v>132716.65</v>
      </c>
      <c r="Q86" s="5">
        <v>19396.26</v>
      </c>
    </row>
    <row r="87" spans="1:17" ht="12.75">
      <c r="A87" s="1"/>
      <c r="B87" s="2"/>
      <c r="C87" s="5"/>
      <c r="D87" s="5"/>
      <c r="E87" s="5"/>
      <c r="F87" s="40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 t="s">
        <v>9</v>
      </c>
      <c r="B88" s="2">
        <v>84</v>
      </c>
      <c r="C88" s="5">
        <v>3301.5</v>
      </c>
      <c r="D88" s="5">
        <v>336883.77</v>
      </c>
      <c r="E88" s="5">
        <v>333271.77</v>
      </c>
      <c r="F88" s="40">
        <f>E88*100/D88</f>
        <v>98.92782012027472</v>
      </c>
      <c r="G88" s="5">
        <f>H88+O88</f>
        <v>329219.17000000004</v>
      </c>
      <c r="H88" s="5">
        <f>255910.17</f>
        <v>255910.17</v>
      </c>
      <c r="I88" s="5">
        <f>SUM(J88:N88)</f>
        <v>255910.17</v>
      </c>
      <c r="J88" s="5">
        <v>27408.37</v>
      </c>
      <c r="K88" s="5">
        <v>1199.8</v>
      </c>
      <c r="L88" s="5">
        <v>2693.8</v>
      </c>
      <c r="M88" s="5">
        <f>205413.57+19194.63</f>
        <v>224608.2</v>
      </c>
      <c r="N88" s="5"/>
      <c r="O88" s="5">
        <v>73309</v>
      </c>
      <c r="P88" s="5">
        <v>169790.11</v>
      </c>
      <c r="Q88" s="5">
        <v>36366.48</v>
      </c>
    </row>
    <row r="89" spans="1:17" ht="12.75">
      <c r="A89" s="1"/>
      <c r="B89" s="2"/>
      <c r="C89" s="5"/>
      <c r="D89" s="5"/>
      <c r="E89" s="5"/>
      <c r="F89" s="4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5" t="s">
        <v>9</v>
      </c>
      <c r="B90" s="34">
        <v>86</v>
      </c>
      <c r="C90" s="5">
        <v>2621.4</v>
      </c>
      <c r="D90" s="5">
        <f>299045.82+456629.04</f>
        <v>755674.86</v>
      </c>
      <c r="E90" s="5">
        <f>286103.62+436866.91</f>
        <v>722970.53</v>
      </c>
      <c r="F90" s="40">
        <f>E90*100/D90</f>
        <v>95.67216911252017</v>
      </c>
      <c r="G90" s="5">
        <f>H90+O90</f>
        <v>739516</v>
      </c>
      <c r="H90" s="5">
        <v>673142</v>
      </c>
      <c r="I90" s="5">
        <f>SUM(J90:N90)</f>
        <v>673142.04</v>
      </c>
      <c r="J90" s="5">
        <v>21729.4</v>
      </c>
      <c r="K90" s="5">
        <v>1066.8</v>
      </c>
      <c r="L90" s="5">
        <v>2270.04</v>
      </c>
      <c r="M90" s="5">
        <f>22715.81+104656.69+520703.3</f>
        <v>648075.8</v>
      </c>
      <c r="N90" s="5"/>
      <c r="O90" s="5">
        <v>66374</v>
      </c>
      <c r="P90" s="5">
        <v>302976.75</v>
      </c>
      <c r="Q90" s="5">
        <v>171547.06</v>
      </c>
    </row>
    <row r="91" spans="1:17" ht="12.75">
      <c r="A91" s="1"/>
      <c r="B91" s="2"/>
      <c r="C91" s="5"/>
      <c r="D91" s="5"/>
      <c r="E91" s="5"/>
      <c r="F91" s="4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 t="s">
        <v>9</v>
      </c>
      <c r="B92" s="2" t="s">
        <v>14</v>
      </c>
      <c r="C92" s="5">
        <v>797.9</v>
      </c>
      <c r="D92" s="5">
        <v>15000.8</v>
      </c>
      <c r="E92" s="5">
        <v>13800.42</v>
      </c>
      <c r="F92" s="40">
        <f>E92*100/D92</f>
        <v>91.9978934456829</v>
      </c>
      <c r="G92" s="5">
        <f>H92+O92</f>
        <v>18271.9</v>
      </c>
      <c r="H92" s="5">
        <f>3271.38</f>
        <v>3271.38</v>
      </c>
      <c r="I92" s="5">
        <f>SUM(J92:N92)</f>
        <v>3271.38</v>
      </c>
      <c r="J92" s="5">
        <v>3271.38</v>
      </c>
      <c r="K92" s="5"/>
      <c r="L92" s="5"/>
      <c r="M92" s="5"/>
      <c r="N92" s="5"/>
      <c r="O92" s="5">
        <f>C92*2.35*8</f>
        <v>15000.52</v>
      </c>
      <c r="P92" s="5">
        <v>3614.33</v>
      </c>
      <c r="Q92" s="5">
        <v>1468.63</v>
      </c>
    </row>
    <row r="93" spans="4:17" ht="12.75">
      <c r="D93" s="77"/>
      <c r="E93" s="77"/>
      <c r="F93" s="75"/>
      <c r="G93" s="5"/>
      <c r="H93" s="77"/>
      <c r="I93" s="5"/>
      <c r="J93" s="77"/>
      <c r="K93" s="77"/>
      <c r="L93" s="77"/>
      <c r="M93" s="77"/>
      <c r="N93" s="77"/>
      <c r="O93" s="78"/>
      <c r="P93" s="78"/>
      <c r="Q93" s="78"/>
    </row>
    <row r="94" spans="1:17" ht="12.75">
      <c r="A94" s="1" t="s">
        <v>18</v>
      </c>
      <c r="B94" s="28">
        <v>1</v>
      </c>
      <c r="C94" s="1">
        <v>2797</v>
      </c>
      <c r="D94" s="5">
        <v>317698.73</v>
      </c>
      <c r="E94" s="5">
        <v>309166.17</v>
      </c>
      <c r="F94" s="40">
        <f>E94*100/D94</f>
        <v>97.31426058895484</v>
      </c>
      <c r="G94" s="5">
        <f>H94+O94</f>
        <v>233332.92</v>
      </c>
      <c r="H94" s="5">
        <f>162731.92</f>
        <v>162731.92</v>
      </c>
      <c r="I94" s="5">
        <f>SUM(J94:N94)</f>
        <v>162731.91999999998</v>
      </c>
      <c r="J94" s="5">
        <v>23109.33</v>
      </c>
      <c r="K94" s="5">
        <v>1120</v>
      </c>
      <c r="L94" s="5">
        <v>2311.82</v>
      </c>
      <c r="M94" s="5">
        <v>136190.77</v>
      </c>
      <c r="N94" s="5"/>
      <c r="O94" s="5">
        <v>70601</v>
      </c>
      <c r="P94" s="18">
        <v>256738.26</v>
      </c>
      <c r="Q94" s="18">
        <v>130792.85</v>
      </c>
    </row>
    <row r="95" spans="1:17" ht="12.75">
      <c r="A95" s="1"/>
      <c r="B95" s="28"/>
      <c r="C95" s="1"/>
      <c r="D95" s="5"/>
      <c r="E95" s="5"/>
      <c r="F95" s="40"/>
      <c r="G95" s="5"/>
      <c r="H95" s="5"/>
      <c r="I95" s="5"/>
      <c r="J95" s="5"/>
      <c r="K95" s="5"/>
      <c r="L95" s="5"/>
      <c r="M95" s="5"/>
      <c r="N95" s="5"/>
      <c r="O95" s="5"/>
      <c r="P95" s="18"/>
      <c r="Q95" s="18"/>
    </row>
    <row r="96" spans="1:17" ht="12.75">
      <c r="A96" s="1" t="s">
        <v>18</v>
      </c>
      <c r="B96" s="28">
        <v>3</v>
      </c>
      <c r="C96" s="1">
        <v>3581</v>
      </c>
      <c r="D96" s="5">
        <v>408955.43</v>
      </c>
      <c r="E96" s="5">
        <v>391887.85</v>
      </c>
      <c r="F96" s="40">
        <f>E96*100/D96</f>
        <v>95.82654276041768</v>
      </c>
      <c r="G96" s="5">
        <f>H96+O96</f>
        <v>413149.03</v>
      </c>
      <c r="H96" s="18">
        <f>322478.03</f>
        <v>322478.03</v>
      </c>
      <c r="I96" s="5">
        <f>SUM(J96:N96)</f>
        <v>322478.0299999999</v>
      </c>
      <c r="J96" s="18">
        <v>29490.07</v>
      </c>
      <c r="K96" s="18">
        <v>1419.6</v>
      </c>
      <c r="L96" s="18">
        <v>3023.55</v>
      </c>
      <c r="M96" s="18">
        <f>77038.73+55445+148561.08+7500</f>
        <v>288544.80999999994</v>
      </c>
      <c r="N96" s="18"/>
      <c r="O96" s="18">
        <v>90671</v>
      </c>
      <c r="P96" s="18">
        <v>258065.6</v>
      </c>
      <c r="Q96" s="18">
        <v>103546.83</v>
      </c>
    </row>
    <row r="97" spans="1:17" ht="12.75">
      <c r="A97" s="1"/>
      <c r="B97" s="28"/>
      <c r="C97" s="1"/>
      <c r="D97" s="5"/>
      <c r="E97" s="5"/>
      <c r="F97" s="4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1" t="s">
        <v>18</v>
      </c>
      <c r="B98" s="28">
        <v>4</v>
      </c>
      <c r="C98" s="1">
        <v>1775.4</v>
      </c>
      <c r="D98" s="5">
        <v>223675.2</v>
      </c>
      <c r="E98" s="5">
        <v>216111.46</v>
      </c>
      <c r="F98" s="40">
        <f>E98*100/D98</f>
        <v>96.61842707640363</v>
      </c>
      <c r="G98" s="5">
        <f>H98+O98</f>
        <v>131295.14</v>
      </c>
      <c r="H98" s="5">
        <v>81229.14</v>
      </c>
      <c r="I98" s="5">
        <f>SUM(J98:N98)</f>
        <v>81229.14</v>
      </c>
      <c r="J98" s="5">
        <v>14735.81</v>
      </c>
      <c r="K98" s="5">
        <v>876.4</v>
      </c>
      <c r="L98" s="5">
        <v>1414.55</v>
      </c>
      <c r="M98" s="5">
        <f>34769.74+24284.64+0</f>
        <v>59054.38</v>
      </c>
      <c r="N98" s="5">
        <v>5148</v>
      </c>
      <c r="O98" s="5">
        <v>50066</v>
      </c>
      <c r="P98" s="5">
        <v>61156.72</v>
      </c>
      <c r="Q98" s="5">
        <v>7357.32</v>
      </c>
    </row>
    <row r="99" spans="1:17" ht="12.75">
      <c r="A99" s="1"/>
      <c r="B99" s="28"/>
      <c r="C99" s="1"/>
      <c r="D99" s="5"/>
      <c r="E99" s="5"/>
      <c r="F99" s="4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1" t="s">
        <v>18</v>
      </c>
      <c r="B100" s="28">
        <v>7</v>
      </c>
      <c r="C100" s="1">
        <v>3279.3</v>
      </c>
      <c r="D100" s="5">
        <v>334727.12</v>
      </c>
      <c r="E100" s="5">
        <v>320455.03</v>
      </c>
      <c r="F100" s="40">
        <f>E100*100/D100</f>
        <v>95.73620147659385</v>
      </c>
      <c r="G100" s="5">
        <f>H100+O100</f>
        <v>281640.43</v>
      </c>
      <c r="H100" s="5">
        <f>208815.43</f>
        <v>208815.43</v>
      </c>
      <c r="I100" s="5">
        <f>SUM(J100:N100)</f>
        <v>208815.43000000002</v>
      </c>
      <c r="J100" s="5">
        <v>27227.55</v>
      </c>
      <c r="K100" s="5">
        <v>1362.2</v>
      </c>
      <c r="L100" s="5">
        <v>2585.29</v>
      </c>
      <c r="M100" s="5">
        <f>24958.92+152681.47</f>
        <v>177640.39</v>
      </c>
      <c r="N100" s="5"/>
      <c r="O100" s="5">
        <v>72825</v>
      </c>
      <c r="P100" s="5">
        <v>274022.49</v>
      </c>
      <c r="Q100" s="5">
        <v>119715.55</v>
      </c>
    </row>
    <row r="101" spans="1:17" ht="12.75">
      <c r="A101" s="1"/>
      <c r="B101" s="28"/>
      <c r="C101" s="1"/>
      <c r="D101" s="5"/>
      <c r="E101" s="5"/>
      <c r="F101" s="4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1" t="s">
        <v>18</v>
      </c>
      <c r="B102" s="30">
        <v>8</v>
      </c>
      <c r="C102" s="7">
        <v>5304.1</v>
      </c>
      <c r="D102" s="6">
        <v>668625.81</v>
      </c>
      <c r="E102" s="6">
        <v>674025.77</v>
      </c>
      <c r="F102" s="37">
        <f>E102*100/D102</f>
        <v>100.8076206331311</v>
      </c>
      <c r="G102" s="5">
        <f>H102+O102</f>
        <v>526051.96</v>
      </c>
      <c r="H102" s="6">
        <v>376470.96</v>
      </c>
      <c r="I102" s="5">
        <f>SUM(J102:N102)</f>
        <v>376470.87</v>
      </c>
      <c r="J102" s="6">
        <v>44025.7</v>
      </c>
      <c r="K102" s="6">
        <v>2158.8</v>
      </c>
      <c r="L102" s="6">
        <v>5376.37</v>
      </c>
      <c r="M102" s="6">
        <f>238945+85965</f>
        <v>324910</v>
      </c>
      <c r="N102" s="6"/>
      <c r="O102" s="6">
        <v>149581</v>
      </c>
      <c r="P102" s="5">
        <v>155718.02</v>
      </c>
      <c r="Q102" s="5">
        <v>114824.6</v>
      </c>
    </row>
    <row r="103" spans="1:17" ht="12.75">
      <c r="A103" s="1"/>
      <c r="B103" s="28"/>
      <c r="C103" s="1"/>
      <c r="D103" s="5"/>
      <c r="E103" s="5"/>
      <c r="F103" s="4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 t="s">
        <v>18</v>
      </c>
      <c r="B104" s="28">
        <v>9</v>
      </c>
      <c r="C104" s="1">
        <v>4556.5</v>
      </c>
      <c r="D104" s="5">
        <v>464771.5</v>
      </c>
      <c r="E104" s="5">
        <v>445049.82</v>
      </c>
      <c r="F104" s="40">
        <f>E104*100/D104</f>
        <v>95.75669334285773</v>
      </c>
      <c r="G104" s="5">
        <f>H104+O104</f>
        <v>327889.05</v>
      </c>
      <c r="H104" s="5">
        <f>226748.05</f>
        <v>226748.05</v>
      </c>
      <c r="I104" s="5">
        <f>SUM(J104:N104)</f>
        <v>226748.04</v>
      </c>
      <c r="J104" s="5">
        <v>37814.8</v>
      </c>
      <c r="K104" s="5">
        <v>1713.6</v>
      </c>
      <c r="L104" s="5">
        <v>3521.51</v>
      </c>
      <c r="M104" s="5">
        <f>29416.61+154281.52</f>
        <v>183698.13</v>
      </c>
      <c r="N104" s="5"/>
      <c r="O104" s="5">
        <v>101141</v>
      </c>
      <c r="P104" s="5">
        <v>211743.75</v>
      </c>
      <c r="Q104" s="5">
        <v>53105.16</v>
      </c>
    </row>
    <row r="105" spans="1:17" ht="12.75">
      <c r="A105" s="1"/>
      <c r="B105" s="28"/>
      <c r="C105" s="1"/>
      <c r="D105" s="5"/>
      <c r="E105" s="5"/>
      <c r="F105" s="40"/>
      <c r="G105" s="5"/>
      <c r="H105" s="5"/>
      <c r="I105" s="5"/>
      <c r="J105" s="5"/>
      <c r="K105" s="5"/>
      <c r="L105" s="5"/>
      <c r="M105" s="5"/>
      <c r="N105" s="5"/>
      <c r="O105" s="5"/>
      <c r="P105" s="18"/>
      <c r="Q105" s="18"/>
    </row>
    <row r="106" spans="1:17" ht="12.75">
      <c r="A106" s="1" t="s">
        <v>18</v>
      </c>
      <c r="B106" s="28">
        <v>11</v>
      </c>
      <c r="C106" s="1">
        <v>3278.3</v>
      </c>
      <c r="D106" s="5">
        <v>332670.49</v>
      </c>
      <c r="E106" s="5">
        <v>333119.51</v>
      </c>
      <c r="F106" s="40">
        <f>E106*100/D106</f>
        <v>100.13497440064492</v>
      </c>
      <c r="G106" s="5">
        <f>H106+O106</f>
        <v>444816.77</v>
      </c>
      <c r="H106" s="5">
        <f>372038.77</f>
        <v>372038.77</v>
      </c>
      <c r="I106" s="5">
        <f>SUM(J106:N106)</f>
        <v>372038.77</v>
      </c>
      <c r="J106" s="5">
        <v>27188.3</v>
      </c>
      <c r="K106" s="5">
        <v>1237.6</v>
      </c>
      <c r="L106" s="5">
        <v>2739.47</v>
      </c>
      <c r="M106" s="5">
        <f>33017.53+286457.97+21397.9</f>
        <v>340873.4</v>
      </c>
      <c r="N106" s="5"/>
      <c r="O106" s="5">
        <v>72778</v>
      </c>
      <c r="P106" s="5">
        <v>206402.33</v>
      </c>
      <c r="Q106" s="5">
        <v>83230.23</v>
      </c>
    </row>
    <row r="107" spans="1:17" ht="12.75">
      <c r="A107" s="1"/>
      <c r="B107" s="28"/>
      <c r="C107" s="1"/>
      <c r="D107" s="5"/>
      <c r="E107" s="5"/>
      <c r="F107" s="4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 t="s">
        <v>18</v>
      </c>
      <c r="B108" s="29" t="s">
        <v>19</v>
      </c>
      <c r="C108" s="1">
        <v>642.5</v>
      </c>
      <c r="D108" s="5">
        <v>12079.28</v>
      </c>
      <c r="E108" s="5">
        <v>5518.03</v>
      </c>
      <c r="F108" s="40">
        <f>E108*100/D108</f>
        <v>45.68177904643323</v>
      </c>
      <c r="G108" s="5">
        <f>H108+O108</f>
        <v>14713.25</v>
      </c>
      <c r="H108" s="5">
        <f>2634.25</f>
        <v>2634.25</v>
      </c>
      <c r="I108" s="5">
        <f>SUM(J108:N108)</f>
        <v>2634.25</v>
      </c>
      <c r="J108" s="5">
        <v>2634.25</v>
      </c>
      <c r="K108" s="5"/>
      <c r="L108" s="5"/>
      <c r="M108" s="5"/>
      <c r="N108" s="5"/>
      <c r="O108" s="5">
        <f>C108*2.35*8</f>
        <v>12079</v>
      </c>
      <c r="P108" s="5">
        <v>12433.69</v>
      </c>
      <c r="Q108" s="5">
        <v>10681.43</v>
      </c>
    </row>
    <row r="109" spans="1:17" ht="12.75">
      <c r="A109" s="1"/>
      <c r="B109" s="28"/>
      <c r="C109" s="1"/>
      <c r="D109" s="5"/>
      <c r="E109" s="5"/>
      <c r="F109" s="4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15" t="s">
        <v>18</v>
      </c>
      <c r="B110" s="36">
        <v>13</v>
      </c>
      <c r="C110" s="1">
        <v>3430.9</v>
      </c>
      <c r="D110" s="5">
        <v>390571.32</v>
      </c>
      <c r="E110" s="5">
        <v>382781.74</v>
      </c>
      <c r="F110" s="40">
        <f>E110*100/D110</f>
        <v>98.00559344705597</v>
      </c>
      <c r="G110" s="5">
        <f>H110+O110</f>
        <v>333186.37</v>
      </c>
      <c r="H110" s="5">
        <f>279421.79-33106.42</f>
        <v>246315.37</v>
      </c>
      <c r="I110" s="5">
        <f>SUM(J110:N110)</f>
        <v>246315.37</v>
      </c>
      <c r="J110" s="5">
        <v>28476.7</v>
      </c>
      <c r="K110" s="5">
        <v>1407</v>
      </c>
      <c r="L110" s="5">
        <v>2843.92</v>
      </c>
      <c r="M110" s="5">
        <f>49252.9+164334.85</f>
        <v>213587.75</v>
      </c>
      <c r="N110" s="5"/>
      <c r="O110" s="5">
        <v>86871</v>
      </c>
      <c r="P110" s="5">
        <v>213292.74</v>
      </c>
      <c r="Q110" s="5">
        <v>22944.01</v>
      </c>
    </row>
    <row r="111" spans="1:17" ht="12.75">
      <c r="A111" s="1"/>
      <c r="B111" s="28"/>
      <c r="C111" s="1"/>
      <c r="D111" s="5"/>
      <c r="E111" s="5"/>
      <c r="F111" s="4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1" t="s">
        <v>18</v>
      </c>
      <c r="B112" s="29" t="s">
        <v>20</v>
      </c>
      <c r="C112" s="1">
        <v>380.4</v>
      </c>
      <c r="D112" s="5">
        <v>48819.87</v>
      </c>
      <c r="E112" s="5">
        <v>49502.73</v>
      </c>
      <c r="F112" s="40">
        <f>E112*100/D112</f>
        <v>101.39873375328528</v>
      </c>
      <c r="G112" s="5">
        <f>H112+O112</f>
        <v>29617.96</v>
      </c>
      <c r="H112" s="5">
        <f>18890.96</f>
        <v>18890.96</v>
      </c>
      <c r="I112" s="5">
        <f>SUM(J112:N112)</f>
        <v>18890.96</v>
      </c>
      <c r="J112" s="5">
        <v>2938.2</v>
      </c>
      <c r="K112" s="5">
        <v>0</v>
      </c>
      <c r="L112" s="5">
        <v>294.96</v>
      </c>
      <c r="M112" s="5">
        <v>14955.8</v>
      </c>
      <c r="N112" s="5">
        <v>702</v>
      </c>
      <c r="O112" s="5">
        <v>10727</v>
      </c>
      <c r="P112" s="5">
        <v>32455.61</v>
      </c>
      <c r="Q112" s="5">
        <v>22944.01</v>
      </c>
    </row>
    <row r="113" spans="1:17" ht="12.75">
      <c r="A113" s="1"/>
      <c r="B113" s="28"/>
      <c r="C113" s="1"/>
      <c r="D113" s="5"/>
      <c r="E113" s="5"/>
      <c r="F113" s="4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1" t="s">
        <v>18</v>
      </c>
      <c r="B114" s="28" t="s">
        <v>10</v>
      </c>
      <c r="C114" s="1">
        <v>838.1</v>
      </c>
      <c r="D114" s="5">
        <v>105613.2</v>
      </c>
      <c r="E114" s="5">
        <v>98968.6</v>
      </c>
      <c r="F114" s="40">
        <f>E114*100/D114</f>
        <v>93.70855158256734</v>
      </c>
      <c r="G114" s="5">
        <f>H114+O114</f>
        <v>90068.01000000001</v>
      </c>
      <c r="H114" s="18">
        <f>44478.01+21953</f>
        <v>66431.01000000001</v>
      </c>
      <c r="I114" s="5">
        <f>SUM(J114:N114)</f>
        <v>66431.01000000001</v>
      </c>
      <c r="J114" s="18">
        <v>6474.25</v>
      </c>
      <c r="K114" s="18">
        <v>840</v>
      </c>
      <c r="L114" s="18">
        <v>666.43</v>
      </c>
      <c r="M114" s="18">
        <v>56344.33</v>
      </c>
      <c r="N114" s="18">
        <v>2106</v>
      </c>
      <c r="O114" s="18">
        <v>23637</v>
      </c>
      <c r="P114" s="18">
        <v>54644.43</v>
      </c>
      <c r="Q114" s="18">
        <v>17051.22</v>
      </c>
    </row>
    <row r="115" spans="1:17" ht="12.75">
      <c r="A115" s="1"/>
      <c r="B115" s="28"/>
      <c r="C115" s="1"/>
      <c r="D115" s="5"/>
      <c r="E115" s="5"/>
      <c r="F115" s="40"/>
      <c r="G115" s="5"/>
      <c r="H115" s="18"/>
      <c r="I115" s="5"/>
      <c r="J115" s="18"/>
      <c r="K115" s="18"/>
      <c r="L115" s="18"/>
      <c r="M115" s="18"/>
      <c r="N115" s="18"/>
      <c r="O115" s="18"/>
      <c r="P115" s="18"/>
      <c r="Q115" s="18"/>
    </row>
    <row r="116" spans="1:17" ht="12.75">
      <c r="A116" s="1" t="s">
        <v>18</v>
      </c>
      <c r="B116" s="28">
        <v>16</v>
      </c>
      <c r="C116" s="1">
        <v>899.4</v>
      </c>
      <c r="D116" s="5">
        <v>112802.76</v>
      </c>
      <c r="E116" s="5">
        <v>117120.33</v>
      </c>
      <c r="F116" s="40">
        <f>E116*100/D116</f>
        <v>103.82753932616542</v>
      </c>
      <c r="G116" s="5">
        <f>H116+O116</f>
        <v>162781.91</v>
      </c>
      <c r="H116" s="18">
        <f>137418.91</f>
        <v>137418.91</v>
      </c>
      <c r="I116" s="5">
        <f>SUM(J116:N116)</f>
        <v>137418.91</v>
      </c>
      <c r="J116" s="18">
        <v>6878.32</v>
      </c>
      <c r="K116" s="18"/>
      <c r="L116" s="18">
        <v>678.42</v>
      </c>
      <c r="M116" s="18">
        <v>126820.17</v>
      </c>
      <c r="N116" s="18">
        <v>3042</v>
      </c>
      <c r="O116" s="18">
        <v>25363</v>
      </c>
      <c r="P116" s="18">
        <v>40627.56</v>
      </c>
      <c r="Q116" s="18">
        <v>7495.39</v>
      </c>
    </row>
    <row r="117" spans="1:17" ht="12.75">
      <c r="A117" s="1"/>
      <c r="B117" s="28"/>
      <c r="C117" s="1"/>
      <c r="D117" s="5"/>
      <c r="E117" s="5"/>
      <c r="F117" s="40"/>
      <c r="G117" s="5"/>
      <c r="H117" s="18"/>
      <c r="I117" s="5"/>
      <c r="J117" s="18"/>
      <c r="K117" s="18"/>
      <c r="L117" s="18"/>
      <c r="M117" s="18"/>
      <c r="N117" s="18"/>
      <c r="O117" s="18"/>
      <c r="P117" s="18"/>
      <c r="Q117" s="18"/>
    </row>
    <row r="118" spans="1:17" ht="12.75">
      <c r="A118" s="1" t="s">
        <v>18</v>
      </c>
      <c r="B118" s="28">
        <v>17</v>
      </c>
      <c r="C118" s="1">
        <v>1014.1</v>
      </c>
      <c r="D118" s="5">
        <v>124991.01</v>
      </c>
      <c r="E118" s="5">
        <v>123538.23</v>
      </c>
      <c r="F118" s="40">
        <f>E118*100/D118</f>
        <v>98.8376924068379</v>
      </c>
      <c r="G118" s="5">
        <f>H118+O118</f>
        <v>80575.03</v>
      </c>
      <c r="H118" s="18">
        <f>52118.03</f>
        <v>52118.03</v>
      </c>
      <c r="I118" s="5">
        <f>SUM(J118:N118)</f>
        <v>52118.03</v>
      </c>
      <c r="J118" s="18">
        <v>7577.61</v>
      </c>
      <c r="K118" s="18"/>
      <c r="L118" s="18">
        <v>749.08</v>
      </c>
      <c r="M118" s="18">
        <v>39579.34</v>
      </c>
      <c r="N118" s="18">
        <v>4212</v>
      </c>
      <c r="O118" s="18">
        <v>28457</v>
      </c>
      <c r="P118" s="18">
        <v>36909.94</v>
      </c>
      <c r="Q118" s="18">
        <v>2806.81</v>
      </c>
    </row>
    <row r="119" spans="1:17" ht="12.75">
      <c r="A119" s="1"/>
      <c r="B119" s="28"/>
      <c r="C119" s="1"/>
      <c r="D119" s="5"/>
      <c r="E119" s="5"/>
      <c r="F119" s="40"/>
      <c r="G119" s="5"/>
      <c r="H119" s="18"/>
      <c r="I119" s="5"/>
      <c r="J119" s="18"/>
      <c r="K119" s="18"/>
      <c r="L119" s="18"/>
      <c r="M119" s="18"/>
      <c r="N119" s="18"/>
      <c r="O119" s="18"/>
      <c r="P119" s="18"/>
      <c r="Q119" s="18"/>
    </row>
    <row r="120" spans="1:17" ht="12.75">
      <c r="A120" s="1" t="s">
        <v>18</v>
      </c>
      <c r="B120" s="28">
        <v>19</v>
      </c>
      <c r="C120" s="1">
        <v>865</v>
      </c>
      <c r="D120" s="5">
        <v>73905.84</v>
      </c>
      <c r="E120" s="5">
        <v>71164.4</v>
      </c>
      <c r="F120" s="40">
        <f>E120*100/D120</f>
        <v>96.29063143047964</v>
      </c>
      <c r="G120" s="5">
        <f>H120+O120</f>
        <v>80446.15</v>
      </c>
      <c r="H120" s="18">
        <f>65914.15</f>
        <v>65914.15</v>
      </c>
      <c r="I120" s="5">
        <f>SUM(J120:N120)</f>
        <v>65914.15</v>
      </c>
      <c r="J120" s="18">
        <v>6859.45</v>
      </c>
      <c r="K120" s="18">
        <v>525</v>
      </c>
      <c r="L120" s="18">
        <v>598.78</v>
      </c>
      <c r="M120" s="18">
        <v>56526.92</v>
      </c>
      <c r="N120" s="18">
        <v>1404</v>
      </c>
      <c r="O120" s="18">
        <v>14532</v>
      </c>
      <c r="P120" s="18">
        <v>34923.98</v>
      </c>
      <c r="Q120" s="18">
        <v>3526.09</v>
      </c>
    </row>
    <row r="121" spans="1:17" ht="12.75">
      <c r="A121" s="1"/>
      <c r="B121" s="28"/>
      <c r="C121" s="1"/>
      <c r="D121" s="5"/>
      <c r="E121" s="5"/>
      <c r="F121" s="40"/>
      <c r="G121" s="5"/>
      <c r="H121" s="18"/>
      <c r="I121" s="5"/>
      <c r="J121" s="18"/>
      <c r="K121" s="18"/>
      <c r="L121" s="18"/>
      <c r="M121" s="18"/>
      <c r="N121" s="18"/>
      <c r="O121" s="18"/>
      <c r="P121" s="18"/>
      <c r="Q121" s="18"/>
    </row>
    <row r="122" spans="1:17" ht="12.75">
      <c r="A122" s="1" t="s">
        <v>18</v>
      </c>
      <c r="B122" s="28">
        <v>20</v>
      </c>
      <c r="C122" s="1">
        <v>2665.1</v>
      </c>
      <c r="D122" s="5">
        <v>236014.24</v>
      </c>
      <c r="E122" s="5">
        <v>228230.3</v>
      </c>
      <c r="F122" s="40">
        <f>E122*100/D122</f>
        <v>96.701919341816</v>
      </c>
      <c r="G122" s="5">
        <f>H122+O122</f>
        <v>252242.3</v>
      </c>
      <c r="H122" s="18">
        <f>206573.3</f>
        <v>206573.3</v>
      </c>
      <c r="I122" s="5">
        <f>SUM(J122:N122)</f>
        <v>206573.3</v>
      </c>
      <c r="J122" s="18">
        <v>22546.25</v>
      </c>
      <c r="K122" s="18">
        <v>1352.4</v>
      </c>
      <c r="L122" s="18"/>
      <c r="M122" s="18">
        <f>81064+101610.65</f>
        <v>182674.65</v>
      </c>
      <c r="N122" s="18"/>
      <c r="O122" s="18">
        <v>45669</v>
      </c>
      <c r="P122" s="18">
        <v>296068.17</v>
      </c>
      <c r="Q122" s="18">
        <v>129058.47</v>
      </c>
    </row>
    <row r="123" spans="1:17" ht="12.75">
      <c r="A123" s="1"/>
      <c r="B123" s="28"/>
      <c r="C123" s="1"/>
      <c r="D123" s="5"/>
      <c r="E123" s="5"/>
      <c r="F123" s="40"/>
      <c r="G123" s="5"/>
      <c r="H123" s="18"/>
      <c r="I123" s="5"/>
      <c r="J123" s="18"/>
      <c r="K123" s="18"/>
      <c r="L123" s="18"/>
      <c r="M123" s="18"/>
      <c r="N123" s="18"/>
      <c r="O123" s="18"/>
      <c r="P123" s="18"/>
      <c r="Q123" s="18"/>
    </row>
    <row r="124" spans="1:17" ht="12.75">
      <c r="A124" s="1" t="s">
        <v>18</v>
      </c>
      <c r="B124" s="28">
        <v>21</v>
      </c>
      <c r="C124" s="1">
        <v>1296.6</v>
      </c>
      <c r="D124" s="5">
        <v>148123.44</v>
      </c>
      <c r="E124" s="5">
        <v>140711.61</v>
      </c>
      <c r="F124" s="40">
        <f>E124*100/D124</f>
        <v>94.9961802129359</v>
      </c>
      <c r="G124" s="5">
        <f>H124+O124</f>
        <v>126384.1</v>
      </c>
      <c r="H124" s="18">
        <f>93554.1</f>
        <v>93554.1</v>
      </c>
      <c r="I124" s="5">
        <f>SUM(J124:N124)</f>
        <v>93554.1</v>
      </c>
      <c r="J124" s="18">
        <v>10282.05</v>
      </c>
      <c r="K124" s="18">
        <v>746.2</v>
      </c>
      <c r="L124" s="18">
        <v>998.6</v>
      </c>
      <c r="M124" s="18">
        <v>79538.25</v>
      </c>
      <c r="N124" s="18">
        <v>1989</v>
      </c>
      <c r="O124" s="18">
        <v>32830</v>
      </c>
      <c r="P124" s="18">
        <v>107306.53</v>
      </c>
      <c r="Q124" s="18">
        <v>44456.99</v>
      </c>
    </row>
    <row r="125" spans="1:17" ht="12.75">
      <c r="A125" s="1"/>
      <c r="B125" s="28"/>
      <c r="C125" s="1"/>
      <c r="D125" s="5"/>
      <c r="E125" s="5"/>
      <c r="F125" s="40"/>
      <c r="G125" s="5"/>
      <c r="H125" s="18"/>
      <c r="I125" s="5"/>
      <c r="J125" s="18"/>
      <c r="K125" s="18"/>
      <c r="L125" s="18"/>
      <c r="M125" s="18"/>
      <c r="N125" s="18"/>
      <c r="O125" s="18"/>
      <c r="P125" s="18"/>
      <c r="Q125" s="18"/>
    </row>
    <row r="126" spans="1:17" ht="12.75">
      <c r="A126" s="1" t="s">
        <v>2</v>
      </c>
      <c r="B126" s="1">
        <v>108</v>
      </c>
      <c r="C126" s="1">
        <v>2182.6</v>
      </c>
      <c r="D126" s="5">
        <v>223455.36</v>
      </c>
      <c r="E126" s="5">
        <v>218711.1</v>
      </c>
      <c r="F126" s="40">
        <f>E126*100/D126</f>
        <v>97.87686453347999</v>
      </c>
      <c r="G126" s="5">
        <f>H126+O126</f>
        <v>204672.55</v>
      </c>
      <c r="H126" s="5">
        <f>151306.55+4712</f>
        <v>156018.55</v>
      </c>
      <c r="I126" s="5">
        <f>SUM(J126:N126)</f>
        <v>156018.55</v>
      </c>
      <c r="J126" s="5">
        <v>18188.61</v>
      </c>
      <c r="K126" s="5">
        <v>802.2</v>
      </c>
      <c r="L126" s="5">
        <v>1465.27</v>
      </c>
      <c r="M126" s="5">
        <f>31519.07+88125.8+11205.6+4712</f>
        <v>135562.47</v>
      </c>
      <c r="N126" s="5"/>
      <c r="O126" s="5">
        <v>48654</v>
      </c>
      <c r="P126" s="18">
        <v>88833.93</v>
      </c>
      <c r="Q126" s="18">
        <v>11207</v>
      </c>
    </row>
    <row r="127" spans="1:17" ht="12.75">
      <c r="A127" s="1"/>
      <c r="B127" s="1"/>
      <c r="C127" s="1"/>
      <c r="D127" s="5"/>
      <c r="E127" s="5"/>
      <c r="F127" s="40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1" t="s">
        <v>2</v>
      </c>
      <c r="B128" s="1">
        <v>110</v>
      </c>
      <c r="C128" s="1">
        <v>5550.7</v>
      </c>
      <c r="D128" s="5">
        <v>565824.16</v>
      </c>
      <c r="E128" s="5">
        <v>555816.57</v>
      </c>
      <c r="F128" s="40">
        <f>E128*100/D128</f>
        <v>98.23132508162958</v>
      </c>
      <c r="G128" s="5">
        <f>H128+O128</f>
        <v>817025.96</v>
      </c>
      <c r="H128" s="5">
        <f>693818.96</f>
        <v>693818.96</v>
      </c>
      <c r="I128" s="5">
        <f>SUM(J128:N128)</f>
        <v>693818.9699999999</v>
      </c>
      <c r="J128" s="5">
        <v>46047.23</v>
      </c>
      <c r="K128" s="5">
        <v>2070.6</v>
      </c>
      <c r="L128" s="5">
        <v>3955.75</v>
      </c>
      <c r="M128" s="5">
        <f>9200+143731.02+31176.71+457637.66</f>
        <v>641745.3899999999</v>
      </c>
      <c r="N128" s="5"/>
      <c r="O128" s="5">
        <v>123207</v>
      </c>
      <c r="P128" s="5">
        <v>295854.85</v>
      </c>
      <c r="Q128" s="5">
        <v>51611.91</v>
      </c>
    </row>
    <row r="129" spans="1:17" ht="12.75">
      <c r="A129" s="1"/>
      <c r="B129" s="1"/>
      <c r="C129" s="1"/>
      <c r="D129" s="5"/>
      <c r="E129" s="5"/>
      <c r="F129" s="4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1" t="s">
        <v>3</v>
      </c>
      <c r="B130" s="2">
        <v>2</v>
      </c>
      <c r="C130" s="1">
        <v>1209.7</v>
      </c>
      <c r="D130" s="5">
        <v>100817.25</v>
      </c>
      <c r="E130" s="5">
        <v>98152.81</v>
      </c>
      <c r="F130" s="40">
        <f>E130*100/D130</f>
        <v>97.3571586211685</v>
      </c>
      <c r="G130" s="5">
        <f>H130+O130</f>
        <v>84491.26999999999</v>
      </c>
      <c r="H130" s="5">
        <f>64245.77-77.5</f>
        <v>64168.27</v>
      </c>
      <c r="I130" s="5">
        <f>SUM(J130:N130)</f>
        <v>64168.270000000004</v>
      </c>
      <c r="J130" s="5">
        <v>9832.43</v>
      </c>
      <c r="K130" s="5">
        <v>882</v>
      </c>
      <c r="L130" s="5">
        <v>998.73</v>
      </c>
      <c r="M130" s="5">
        <f>24052.13+27115.98+0</f>
        <v>51168.11</v>
      </c>
      <c r="N130" s="5">
        <v>1287</v>
      </c>
      <c r="O130" s="5">
        <v>20323</v>
      </c>
      <c r="P130" s="5">
        <v>70487.43</v>
      </c>
      <c r="Q130" s="5">
        <v>32355.77</v>
      </c>
    </row>
    <row r="131" spans="1:17" ht="12.75">
      <c r="A131" s="1"/>
      <c r="B131" s="2"/>
      <c r="C131" s="1"/>
      <c r="D131" s="5"/>
      <c r="E131" s="5"/>
      <c r="F131" s="4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1" t="s">
        <v>3</v>
      </c>
      <c r="B132" s="2" t="s">
        <v>22</v>
      </c>
      <c r="C132" s="1">
        <v>466.1</v>
      </c>
      <c r="D132" s="5">
        <v>36858.2</v>
      </c>
      <c r="E132" s="5">
        <v>34704.49</v>
      </c>
      <c r="F132" s="40">
        <f>E132*100/D132</f>
        <v>94.15676837175988</v>
      </c>
      <c r="G132" s="5">
        <f>H132+O132</f>
        <v>19562.05</v>
      </c>
      <c r="H132" s="5">
        <v>11732.05</v>
      </c>
      <c r="I132" s="5">
        <f>SUM(J132:N132)</f>
        <v>11732.05</v>
      </c>
      <c r="J132" s="5">
        <v>3788.46</v>
      </c>
      <c r="K132" s="5"/>
      <c r="L132" s="5">
        <v>329.25</v>
      </c>
      <c r="M132" s="5">
        <f>5590.71+1555.63</f>
        <v>7146.34</v>
      </c>
      <c r="N132" s="5">
        <v>468</v>
      </c>
      <c r="O132" s="5">
        <v>7830</v>
      </c>
      <c r="P132" s="5">
        <v>83315.37</v>
      </c>
      <c r="Q132" s="5">
        <v>52530.72</v>
      </c>
    </row>
    <row r="133" spans="1:17" ht="12.75">
      <c r="A133" s="1"/>
      <c r="B133" s="2"/>
      <c r="C133" s="1"/>
      <c r="D133" s="5"/>
      <c r="E133" s="5"/>
      <c r="F133" s="4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1" t="s">
        <v>3</v>
      </c>
      <c r="B134" s="2">
        <v>4</v>
      </c>
      <c r="C134" s="1">
        <v>276.5</v>
      </c>
      <c r="D134" s="5">
        <v>15649.22</v>
      </c>
      <c r="E134" s="5">
        <v>21668.77</v>
      </c>
      <c r="F134" s="40">
        <f>E134*100/D134</f>
        <v>138.4654954048828</v>
      </c>
      <c r="G134" s="5">
        <f>H134+O134</f>
        <v>27732.28</v>
      </c>
      <c r="H134" s="5">
        <f>23717.28</f>
        <v>23717.28</v>
      </c>
      <c r="I134" s="5">
        <f>SUM(J134:N134)</f>
        <v>23717.28</v>
      </c>
      <c r="J134" s="5">
        <v>2156.15</v>
      </c>
      <c r="K134" s="5"/>
      <c r="L134" s="5"/>
      <c r="M134" s="5">
        <f>4657.4+16903.73</f>
        <v>21561.129999999997</v>
      </c>
      <c r="N134" s="5"/>
      <c r="O134" s="5">
        <v>4015</v>
      </c>
      <c r="P134" s="5">
        <v>15267.64</v>
      </c>
      <c r="Q134" s="5">
        <v>5151.45</v>
      </c>
    </row>
    <row r="135" spans="1:17" ht="12.75">
      <c r="A135" s="1"/>
      <c r="B135" s="2"/>
      <c r="C135" s="1"/>
      <c r="D135" s="5"/>
      <c r="E135" s="5"/>
      <c r="F135" s="4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1" t="s">
        <v>3</v>
      </c>
      <c r="B136" s="2">
        <v>6</v>
      </c>
      <c r="C136" s="1">
        <v>174.7</v>
      </c>
      <c r="D136" s="5">
        <v>9851.92</v>
      </c>
      <c r="E136" s="5">
        <v>7813.89</v>
      </c>
      <c r="F136" s="40">
        <f>E136*100/D136</f>
        <v>79.31337241877725</v>
      </c>
      <c r="G136" s="5">
        <f>H136+O136</f>
        <v>7164.25</v>
      </c>
      <c r="H136" s="5">
        <v>4627.25</v>
      </c>
      <c r="I136" s="5">
        <f>SUM(J136:N136)</f>
        <v>4627.25</v>
      </c>
      <c r="J136" s="5">
        <v>1362.3</v>
      </c>
      <c r="K136" s="5"/>
      <c r="L136" s="5"/>
      <c r="M136" s="5">
        <f>731.78+2533.17</f>
        <v>3264.95</v>
      </c>
      <c r="N136" s="5"/>
      <c r="O136" s="5">
        <v>2537</v>
      </c>
      <c r="P136" s="5">
        <v>28317.3</v>
      </c>
      <c r="Q136" s="5">
        <v>21642.37</v>
      </c>
    </row>
    <row r="137" spans="1:17" ht="12.75">
      <c r="A137" s="1"/>
      <c r="B137" s="2"/>
      <c r="C137" s="1"/>
      <c r="D137" s="5"/>
      <c r="E137" s="5"/>
      <c r="F137" s="4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1" t="s">
        <v>3</v>
      </c>
      <c r="B138" s="2">
        <v>8</v>
      </c>
      <c r="C138" s="1">
        <v>475</v>
      </c>
      <c r="D138" s="5">
        <v>36598.04</v>
      </c>
      <c r="E138" s="5">
        <v>32668.79</v>
      </c>
      <c r="F138" s="40">
        <f>E138*100/D138</f>
        <v>89.2637693166082</v>
      </c>
      <c r="G138" s="5">
        <f>H138+O138</f>
        <v>27621.89</v>
      </c>
      <c r="H138" s="5">
        <v>19636.89</v>
      </c>
      <c r="I138" s="5">
        <f>SUM(J138:N138)</f>
        <v>19636.89</v>
      </c>
      <c r="J138" s="5">
        <v>3706.4</v>
      </c>
      <c r="K138" s="5"/>
      <c r="L138" s="5"/>
      <c r="M138" s="5">
        <f>7783.7+8146.79</f>
        <v>15930.49</v>
      </c>
      <c r="N138" s="5"/>
      <c r="O138" s="5">
        <v>7985</v>
      </c>
      <c r="P138" s="5">
        <v>139673.34</v>
      </c>
      <c r="Q138" s="5">
        <v>87873.45</v>
      </c>
    </row>
    <row r="139" spans="1:17" ht="12.75">
      <c r="A139" s="1"/>
      <c r="B139" s="2"/>
      <c r="C139" s="1"/>
      <c r="D139" s="5"/>
      <c r="E139" s="5"/>
      <c r="F139" s="4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1" t="s">
        <v>3</v>
      </c>
      <c r="B140" s="2">
        <v>10</v>
      </c>
      <c r="C140" s="1">
        <v>549.8</v>
      </c>
      <c r="D140" s="5">
        <v>31239.83</v>
      </c>
      <c r="E140" s="5">
        <v>30193.13</v>
      </c>
      <c r="F140" s="40">
        <f>E140*100/D140</f>
        <v>96.64946960338771</v>
      </c>
      <c r="G140" s="5">
        <f>H140+O140</f>
        <v>24002.21</v>
      </c>
      <c r="H140" s="5">
        <f>16004.21</f>
        <v>16004.21</v>
      </c>
      <c r="I140" s="5">
        <f>SUM(J140:N140)</f>
        <v>16004.21</v>
      </c>
      <c r="J140" s="5">
        <v>4513.27</v>
      </c>
      <c r="K140" s="5"/>
      <c r="L140" s="5">
        <v>582.82</v>
      </c>
      <c r="M140" s="5">
        <f>8327.92+2580.2</f>
        <v>10908.119999999999</v>
      </c>
      <c r="N140" s="5"/>
      <c r="O140" s="5">
        <v>7998</v>
      </c>
      <c r="P140" s="79">
        <v>19129.96</v>
      </c>
      <c r="Q140" s="18">
        <v>1934.06</v>
      </c>
    </row>
    <row r="141" spans="1:17" ht="12.75">
      <c r="A141" s="1"/>
      <c r="B141" s="2"/>
      <c r="C141" s="1"/>
      <c r="D141" s="5"/>
      <c r="E141" s="5"/>
      <c r="F141" s="40"/>
      <c r="G141" s="5"/>
      <c r="H141" s="5"/>
      <c r="I141" s="5"/>
      <c r="J141" s="5"/>
      <c r="K141" s="5"/>
      <c r="L141" s="5"/>
      <c r="M141" s="5"/>
      <c r="N141" s="5"/>
      <c r="O141" s="5"/>
      <c r="P141" s="79"/>
      <c r="Q141" s="18"/>
    </row>
    <row r="142" spans="1:17" ht="12.75">
      <c r="A142" s="1" t="s">
        <v>3</v>
      </c>
      <c r="B142" s="2">
        <v>12</v>
      </c>
      <c r="C142" s="1">
        <v>422.1</v>
      </c>
      <c r="D142" s="5">
        <v>25267.49</v>
      </c>
      <c r="E142" s="5">
        <v>25287</v>
      </c>
      <c r="F142" s="40">
        <f>E142*100/D142</f>
        <v>100.07721384276792</v>
      </c>
      <c r="G142" s="5">
        <f>H142+O142</f>
        <v>18696.55</v>
      </c>
      <c r="H142" s="5">
        <v>12254.55</v>
      </c>
      <c r="I142" s="5">
        <f>SUM(J142:N142)</f>
        <v>12254.55</v>
      </c>
      <c r="J142" s="5">
        <v>3635.19</v>
      </c>
      <c r="K142" s="5"/>
      <c r="L142" s="5">
        <v>608.33</v>
      </c>
      <c r="M142" s="5">
        <f>6259+1752.03</f>
        <v>8011.03</v>
      </c>
      <c r="N142" s="5"/>
      <c r="O142" s="80">
        <v>6442</v>
      </c>
      <c r="P142" s="5">
        <v>24934.69</v>
      </c>
      <c r="Q142" s="5">
        <v>10543.01</v>
      </c>
    </row>
    <row r="143" spans="1:17" ht="12.75">
      <c r="A143" s="1"/>
      <c r="B143" s="2"/>
      <c r="C143" s="1"/>
      <c r="D143" s="5"/>
      <c r="E143" s="5"/>
      <c r="F143" s="40"/>
      <c r="G143" s="5"/>
      <c r="H143" s="5"/>
      <c r="I143" s="5"/>
      <c r="J143" s="5"/>
      <c r="K143" s="5"/>
      <c r="L143" s="5"/>
      <c r="M143" s="5"/>
      <c r="N143" s="5"/>
      <c r="O143" s="80"/>
      <c r="P143" s="5"/>
      <c r="Q143" s="5"/>
    </row>
    <row r="144" spans="1:17" ht="12.75">
      <c r="A144" s="1" t="s">
        <v>3</v>
      </c>
      <c r="B144" s="2">
        <v>14</v>
      </c>
      <c r="C144" s="1">
        <v>550.7</v>
      </c>
      <c r="D144" s="5">
        <v>30642.44</v>
      </c>
      <c r="E144" s="5">
        <v>29633.61</v>
      </c>
      <c r="F144" s="40">
        <f>E144*100/D144</f>
        <v>96.70773606801548</v>
      </c>
      <c r="G144" s="5">
        <f>H144+O144</f>
        <v>36296.95</v>
      </c>
      <c r="H144" s="5">
        <v>28300.95</v>
      </c>
      <c r="I144" s="5">
        <f>SUM(J144:N144)</f>
        <v>28300.95</v>
      </c>
      <c r="J144" s="5">
        <v>4475.55</v>
      </c>
      <c r="K144" s="5"/>
      <c r="L144" s="5">
        <v>370.51</v>
      </c>
      <c r="M144" s="5">
        <f>16150.16+7304.73</f>
        <v>23454.89</v>
      </c>
      <c r="N144" s="5"/>
      <c r="O144" s="5">
        <v>7996</v>
      </c>
      <c r="P144" s="5">
        <v>24116.38</v>
      </c>
      <c r="Q144" s="5">
        <v>1935.19</v>
      </c>
    </row>
    <row r="145" spans="1:17" ht="12.75">
      <c r="A145" s="1"/>
      <c r="B145" s="2"/>
      <c r="C145" s="1"/>
      <c r="D145" s="5"/>
      <c r="E145" s="5"/>
      <c r="F145" s="40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 t="s">
        <v>3</v>
      </c>
      <c r="B146" s="31" t="s">
        <v>23</v>
      </c>
      <c r="C146" s="1">
        <v>855.2</v>
      </c>
      <c r="D146" s="5">
        <v>68339.09</v>
      </c>
      <c r="E146" s="5">
        <v>62616.99</v>
      </c>
      <c r="F146" s="40">
        <f>E146*100/D146</f>
        <v>91.62690050452824</v>
      </c>
      <c r="G146" s="5">
        <f>H146+O146</f>
        <v>55006.59</v>
      </c>
      <c r="H146" s="5">
        <f>37953.32+2686.27</f>
        <v>40639.59</v>
      </c>
      <c r="I146" s="5">
        <f>SUM(J146:N146)</f>
        <v>40639.59</v>
      </c>
      <c r="J146" s="5">
        <f>6640.63</f>
        <v>6640.63</v>
      </c>
      <c r="K146" s="5"/>
      <c r="L146" s="5">
        <v>743.62</v>
      </c>
      <c r="M146" s="5">
        <f>19006.44+12306.25+538.65</f>
        <v>31851.34</v>
      </c>
      <c r="N146" s="5">
        <v>1404</v>
      </c>
      <c r="O146" s="5">
        <v>14367</v>
      </c>
      <c r="P146" s="5">
        <v>64690.17</v>
      </c>
      <c r="Q146" s="18">
        <v>13950.22</v>
      </c>
    </row>
    <row r="147" spans="1:17" ht="12.75">
      <c r="A147" s="1"/>
      <c r="B147" s="31"/>
      <c r="C147" s="1"/>
      <c r="D147" s="5"/>
      <c r="E147" s="5"/>
      <c r="F147" s="40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18"/>
    </row>
    <row r="148" spans="1:17" ht="12.75">
      <c r="A148" s="1" t="s">
        <v>3</v>
      </c>
      <c r="B148" s="2">
        <v>27</v>
      </c>
      <c r="C148" s="1">
        <v>902.5</v>
      </c>
      <c r="D148" s="5">
        <v>72136.92</v>
      </c>
      <c r="E148" s="5">
        <v>65770.9</v>
      </c>
      <c r="F148" s="40">
        <f>E148*100/D148</f>
        <v>91.17508759730799</v>
      </c>
      <c r="G148" s="5">
        <f>H148+O148</f>
        <v>87217.6</v>
      </c>
      <c r="H148" s="5">
        <f>72055.6</f>
        <v>72055.6</v>
      </c>
      <c r="I148" s="5">
        <f>SUM(J148:N148)</f>
        <v>72055.6</v>
      </c>
      <c r="J148" s="5">
        <v>6917.81</v>
      </c>
      <c r="K148" s="5"/>
      <c r="L148" s="5">
        <v>935.93</v>
      </c>
      <c r="M148" s="5">
        <f>14839.02+48075.84</f>
        <v>62914.86</v>
      </c>
      <c r="N148" s="5">
        <v>1287</v>
      </c>
      <c r="O148" s="5">
        <v>15162</v>
      </c>
      <c r="P148" s="5">
        <v>226588.41</v>
      </c>
      <c r="Q148" s="5">
        <v>135142.54</v>
      </c>
    </row>
    <row r="149" spans="1:17" ht="12.75">
      <c r="A149" s="1"/>
      <c r="B149" s="2"/>
      <c r="C149" s="1"/>
      <c r="D149" s="5"/>
      <c r="E149" s="5"/>
      <c r="F149" s="4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1" t="s">
        <v>3</v>
      </c>
      <c r="B150" s="2">
        <v>29</v>
      </c>
      <c r="C150" s="1">
        <v>870.8</v>
      </c>
      <c r="D150" s="5">
        <v>68009.38</v>
      </c>
      <c r="E150" s="5">
        <v>57965.15</v>
      </c>
      <c r="F150" s="40">
        <f>E150*100/D150</f>
        <v>85.23111076736767</v>
      </c>
      <c r="G150" s="5">
        <f>H150+O150</f>
        <v>47326.33</v>
      </c>
      <c r="H150" s="5">
        <f>32697.33</f>
        <v>32697.33</v>
      </c>
      <c r="I150" s="5">
        <f>SUM(J150:N150)</f>
        <v>32697.33</v>
      </c>
      <c r="J150" s="5">
        <f>6675.56</f>
        <v>6675.56</v>
      </c>
      <c r="K150" s="5"/>
      <c r="L150" s="5">
        <v>935.93</v>
      </c>
      <c r="M150" s="5">
        <f>30237.25-6672.41</f>
        <v>23564.84</v>
      </c>
      <c r="N150" s="5">
        <v>1521</v>
      </c>
      <c r="O150" s="5">
        <v>14629</v>
      </c>
      <c r="P150" s="5">
        <v>208989.81</v>
      </c>
      <c r="Q150" s="5">
        <v>137583.5</v>
      </c>
    </row>
    <row r="151" spans="1:17" ht="12.75">
      <c r="A151" s="1"/>
      <c r="B151" s="2"/>
      <c r="C151" s="1"/>
      <c r="D151" s="5"/>
      <c r="E151" s="5"/>
      <c r="F151" s="4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1" t="s">
        <v>3</v>
      </c>
      <c r="B152" s="2">
        <v>31</v>
      </c>
      <c r="C152" s="1">
        <v>868.7</v>
      </c>
      <c r="D152" s="5">
        <v>96620.87</v>
      </c>
      <c r="E152" s="5">
        <v>97912.12</v>
      </c>
      <c r="F152" s="40">
        <f>E152*100/D152</f>
        <v>101.33640899735224</v>
      </c>
      <c r="G152" s="5">
        <f>H152+O152</f>
        <v>148573.22999999998</v>
      </c>
      <c r="H152" s="5">
        <v>124077.23</v>
      </c>
      <c r="I152" s="5">
        <f>SUM(J152:N152)</f>
        <v>124077.23</v>
      </c>
      <c r="J152" s="5">
        <v>6658.27</v>
      </c>
      <c r="K152" s="5"/>
      <c r="L152" s="5">
        <v>901.04</v>
      </c>
      <c r="M152" s="5">
        <f>25265.56+52210.36+36000</f>
        <v>113475.92</v>
      </c>
      <c r="N152" s="5">
        <v>3042</v>
      </c>
      <c r="O152" s="5">
        <v>24496</v>
      </c>
      <c r="P152" s="5">
        <v>132731.52</v>
      </c>
      <c r="Q152" s="5">
        <v>80560.33</v>
      </c>
    </row>
    <row r="153" spans="1:17" ht="12.75">
      <c r="A153" s="1"/>
      <c r="B153" s="2"/>
      <c r="C153" s="1"/>
      <c r="D153" s="5"/>
      <c r="E153" s="5"/>
      <c r="F153" s="4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1" t="s">
        <v>3</v>
      </c>
      <c r="B154" s="2">
        <v>33</v>
      </c>
      <c r="C154" s="1">
        <v>862.6</v>
      </c>
      <c r="D154" s="5">
        <v>101674.64</v>
      </c>
      <c r="E154" s="5">
        <v>106880.82</v>
      </c>
      <c r="F154" s="40">
        <f>E154*100/D154</f>
        <v>105.12043121077193</v>
      </c>
      <c r="G154" s="5">
        <f>H154+O154</f>
        <v>135091.36</v>
      </c>
      <c r="H154" s="5">
        <v>110766.36</v>
      </c>
      <c r="I154" s="5">
        <f>SUM(J154:N154)</f>
        <v>110766.36</v>
      </c>
      <c r="J154" s="5">
        <v>6612.69</v>
      </c>
      <c r="K154" s="5">
        <v>865.2</v>
      </c>
      <c r="L154" s="5">
        <v>684.84</v>
      </c>
      <c r="M154" s="5">
        <f>36000+55376.82+9588.81</f>
        <v>100965.63</v>
      </c>
      <c r="N154" s="5">
        <v>1638</v>
      </c>
      <c r="O154" s="5">
        <v>24325</v>
      </c>
      <c r="P154" s="5">
        <v>41267.82</v>
      </c>
      <c r="Q154" s="5">
        <v>1617.81</v>
      </c>
    </row>
    <row r="155" spans="1:17" ht="12.75">
      <c r="A155" s="1"/>
      <c r="B155" s="2"/>
      <c r="C155" s="1"/>
      <c r="D155" s="5"/>
      <c r="E155" s="5"/>
      <c r="F155" s="4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1" t="s">
        <v>25</v>
      </c>
      <c r="B156" s="1">
        <v>1</v>
      </c>
      <c r="C156" s="1">
        <v>199</v>
      </c>
      <c r="D156" s="5">
        <v>16914.6</v>
      </c>
      <c r="E156" s="5">
        <v>17681.67</v>
      </c>
      <c r="F156" s="40">
        <f>E156*100/D156</f>
        <v>104.53495796530807</v>
      </c>
      <c r="G156" s="5">
        <f>H156+O156</f>
        <v>7013.969999999999</v>
      </c>
      <c r="H156" s="5">
        <f>3687.97</f>
        <v>3687.97</v>
      </c>
      <c r="I156" s="5">
        <f>SUM(J156:N156)</f>
        <v>3687.9700000000003</v>
      </c>
      <c r="J156" s="5">
        <v>1568.34</v>
      </c>
      <c r="K156" s="5"/>
      <c r="L156" s="5">
        <v>242.23</v>
      </c>
      <c r="M156" s="5">
        <f>1430.4+96</f>
        <v>1526.4</v>
      </c>
      <c r="N156" s="5">
        <v>351</v>
      </c>
      <c r="O156" s="5">
        <v>3326</v>
      </c>
      <c r="P156" s="18">
        <v>5682.35</v>
      </c>
      <c r="Q156" s="18">
        <v>2304.64</v>
      </c>
    </row>
    <row r="157" spans="1:17" ht="12.75">
      <c r="A157" s="1"/>
      <c r="B157" s="1"/>
      <c r="C157" s="1"/>
      <c r="D157" s="5"/>
      <c r="E157" s="5"/>
      <c r="F157" s="4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1" t="s">
        <v>25</v>
      </c>
      <c r="B158" s="1">
        <v>2</v>
      </c>
      <c r="C158" s="1">
        <v>189.9</v>
      </c>
      <c r="D158" s="5">
        <v>16104.08</v>
      </c>
      <c r="E158" s="5">
        <v>15307.63</v>
      </c>
      <c r="F158" s="40">
        <f>E158*100/D158</f>
        <v>95.05435889538552</v>
      </c>
      <c r="G158" s="5">
        <f>H158+O158</f>
        <v>13393.15</v>
      </c>
      <c r="H158" s="5">
        <f>10204.15</f>
        <v>10204.15</v>
      </c>
      <c r="I158" s="5">
        <f>SUM(J158:N158)</f>
        <v>10204.15</v>
      </c>
      <c r="J158" s="5">
        <v>1538.12</v>
      </c>
      <c r="K158" s="5"/>
      <c r="L158" s="5">
        <v>190.51</v>
      </c>
      <c r="M158" s="5">
        <f>95+8029.52</f>
        <v>8124.52</v>
      </c>
      <c r="N158" s="5">
        <v>351</v>
      </c>
      <c r="O158" s="5">
        <v>3189</v>
      </c>
      <c r="P158" s="5">
        <v>3420.81</v>
      </c>
      <c r="Q158" s="5">
        <v>0</v>
      </c>
    </row>
    <row r="159" spans="1:17" ht="12.75">
      <c r="A159" s="1"/>
      <c r="B159" s="1"/>
      <c r="C159" s="1"/>
      <c r="D159" s="5"/>
      <c r="E159" s="5"/>
      <c r="F159" s="40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1" t="s">
        <v>25</v>
      </c>
      <c r="B160" s="1">
        <v>3</v>
      </c>
      <c r="C160" s="1">
        <v>208.6</v>
      </c>
      <c r="D160" s="5">
        <v>17557.92</v>
      </c>
      <c r="E160" s="5">
        <v>16696.43</v>
      </c>
      <c r="F160" s="40">
        <f>E160*100/D160</f>
        <v>95.0934393139962</v>
      </c>
      <c r="G160" s="5">
        <f>H160+O160</f>
        <v>13354.06</v>
      </c>
      <c r="H160" s="5">
        <v>9902.06</v>
      </c>
      <c r="I160" s="5">
        <f>SUM(J160:N160)</f>
        <v>9902.06</v>
      </c>
      <c r="J160" s="5">
        <v>1664.97</v>
      </c>
      <c r="K160" s="5"/>
      <c r="L160" s="5">
        <v>148.72</v>
      </c>
      <c r="M160" s="5">
        <f>95+7525.37</f>
        <v>7620.37</v>
      </c>
      <c r="N160" s="5">
        <v>468</v>
      </c>
      <c r="O160" s="5">
        <v>3452</v>
      </c>
      <c r="P160" s="5">
        <v>4861.59</v>
      </c>
      <c r="Q160" s="5">
        <v>1656.01</v>
      </c>
    </row>
    <row r="161" spans="1:17" ht="12.75">
      <c r="A161" s="1"/>
      <c r="B161" s="1"/>
      <c r="C161" s="1"/>
      <c r="D161" s="5"/>
      <c r="E161" s="5"/>
      <c r="F161" s="40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 t="s">
        <v>25</v>
      </c>
      <c r="B162" s="1">
        <v>4</v>
      </c>
      <c r="C162" s="1">
        <v>183.1</v>
      </c>
      <c r="D162" s="5">
        <v>16062.72</v>
      </c>
      <c r="E162" s="5">
        <v>16330.32</v>
      </c>
      <c r="F162" s="40">
        <f>E162*100/D162</f>
        <v>101.66596939995219</v>
      </c>
      <c r="G162" s="5">
        <f>H162+O162</f>
        <v>13796.74</v>
      </c>
      <c r="H162" s="5">
        <f>10720.74</f>
        <v>10720.74</v>
      </c>
      <c r="I162" s="5">
        <f>SUM(J162:N162)</f>
        <v>10720.74</v>
      </c>
      <c r="J162" s="5">
        <v>1523.17</v>
      </c>
      <c r="K162" s="5"/>
      <c r="L162" s="5">
        <v>242.23</v>
      </c>
      <c r="M162" s="5">
        <f>8629.34+92</f>
        <v>8721.34</v>
      </c>
      <c r="N162" s="5">
        <v>234</v>
      </c>
      <c r="O162" s="5">
        <v>3076</v>
      </c>
      <c r="P162" s="5">
        <v>2516.55</v>
      </c>
      <c r="Q162" s="5">
        <v>514.28</v>
      </c>
    </row>
    <row r="163" spans="1:17" ht="12.75">
      <c r="A163" s="1"/>
      <c r="B163" s="1"/>
      <c r="C163" s="1"/>
      <c r="D163" s="5"/>
      <c r="E163" s="5"/>
      <c r="F163" s="40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 t="s">
        <v>25</v>
      </c>
      <c r="B164" s="1">
        <v>5</v>
      </c>
      <c r="C164" s="1">
        <v>181</v>
      </c>
      <c r="D164" s="5">
        <v>15468</v>
      </c>
      <c r="E164" s="5">
        <v>16879.64</v>
      </c>
      <c r="F164" s="40">
        <f>E164*100/D164</f>
        <v>109.12619601758469</v>
      </c>
      <c r="G164" s="5">
        <f>H164+O164</f>
        <v>20067.66</v>
      </c>
      <c r="H164" s="5">
        <f>17548.67-522.01</f>
        <v>17026.66</v>
      </c>
      <c r="I164" s="5">
        <f>SUM(J164:N164)</f>
        <v>17026.66</v>
      </c>
      <c r="J164" s="5">
        <v>1444.12</v>
      </c>
      <c r="K164" s="5"/>
      <c r="L164" s="5">
        <v>242.23</v>
      </c>
      <c r="M164" s="5">
        <f>87+15658.32-522.01</f>
        <v>15223.31</v>
      </c>
      <c r="N164" s="5">
        <v>117</v>
      </c>
      <c r="O164" s="5">
        <v>3041</v>
      </c>
      <c r="P164" s="5">
        <v>5765.68</v>
      </c>
      <c r="Q164" s="5">
        <v>2261.6</v>
      </c>
    </row>
    <row r="165" spans="1:17" ht="12.75">
      <c r="A165" s="1"/>
      <c r="B165" s="1"/>
      <c r="C165" s="1"/>
      <c r="D165" s="5"/>
      <c r="E165" s="5"/>
      <c r="F165" s="40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 t="s">
        <v>25</v>
      </c>
      <c r="B166" s="28" t="s">
        <v>24</v>
      </c>
      <c r="C166" s="1">
        <v>305.3</v>
      </c>
      <c r="D166" s="5">
        <v>26083.92</v>
      </c>
      <c r="E166" s="5">
        <v>25196.64</v>
      </c>
      <c r="F166" s="40">
        <f>E166*100/D166</f>
        <v>96.59836404957538</v>
      </c>
      <c r="G166" s="5">
        <f>H166+O166</f>
        <v>18076.7</v>
      </c>
      <c r="H166" s="5">
        <f>12947.7</f>
        <v>12947.7</v>
      </c>
      <c r="I166" s="5">
        <f>SUM(J166:N166)</f>
        <v>12947.7</v>
      </c>
      <c r="J166" s="5">
        <v>2473.43</v>
      </c>
      <c r="K166" s="5"/>
      <c r="L166" s="5">
        <v>254.66</v>
      </c>
      <c r="M166" s="5">
        <f>9844.61+141</f>
        <v>9985.61</v>
      </c>
      <c r="N166" s="5">
        <v>234</v>
      </c>
      <c r="O166" s="5">
        <v>5129</v>
      </c>
      <c r="P166" s="5">
        <v>6745.17</v>
      </c>
      <c r="Q166" s="5">
        <v>1128.43</v>
      </c>
    </row>
    <row r="167" spans="1:17" ht="12.75">
      <c r="A167" s="1"/>
      <c r="B167" s="1"/>
      <c r="C167" s="1"/>
      <c r="D167" s="5"/>
      <c r="E167" s="5"/>
      <c r="F167" s="40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>
      <c r="A168" s="1" t="s">
        <v>25</v>
      </c>
      <c r="B168" s="1">
        <v>6</v>
      </c>
      <c r="C168" s="1">
        <v>651.1</v>
      </c>
      <c r="D168" s="5">
        <v>55631.76</v>
      </c>
      <c r="E168" s="5">
        <v>53886.07</v>
      </c>
      <c r="F168" s="40">
        <f>E168*100/D168</f>
        <v>96.86206224645778</v>
      </c>
      <c r="G168" s="5">
        <f>H168+O168</f>
        <v>94389.98</v>
      </c>
      <c r="H168" s="5">
        <f>83450.98</f>
        <v>83450.98</v>
      </c>
      <c r="I168" s="5">
        <f>SUM(J168:N168)</f>
        <v>83450.98</v>
      </c>
      <c r="J168" s="5">
        <v>5176.38</v>
      </c>
      <c r="K168" s="5"/>
      <c r="L168" s="5">
        <v>490.84</v>
      </c>
      <c r="M168" s="5">
        <f>77347.76+319</f>
        <v>77666.76</v>
      </c>
      <c r="N168" s="5">
        <v>117</v>
      </c>
      <c r="O168" s="5">
        <v>10939</v>
      </c>
      <c r="P168" s="5">
        <v>35987.64</v>
      </c>
      <c r="Q168" s="5">
        <v>23733.11</v>
      </c>
    </row>
    <row r="169" spans="1:17" ht="12.75">
      <c r="A169" s="1"/>
      <c r="B169" s="1"/>
      <c r="C169" s="1"/>
      <c r="D169" s="5"/>
      <c r="E169" s="5"/>
      <c r="F169" s="40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>
      <c r="A170" s="1" t="s">
        <v>25</v>
      </c>
      <c r="B170" s="1">
        <v>7</v>
      </c>
      <c r="C170" s="1">
        <v>309.4</v>
      </c>
      <c r="D170" s="5">
        <v>26432.52</v>
      </c>
      <c r="E170" s="5">
        <v>26721.22</v>
      </c>
      <c r="F170" s="40">
        <f>E170*100/D170</f>
        <v>101.0922151955243</v>
      </c>
      <c r="G170" s="5">
        <f>H170+O170</f>
        <v>31119.9</v>
      </c>
      <c r="H170" s="5">
        <f>25922.9</f>
        <v>25922.9</v>
      </c>
      <c r="I170" s="5">
        <f>SUM(J170:N170)</f>
        <v>25922.9</v>
      </c>
      <c r="J170" s="5">
        <v>2480.01</v>
      </c>
      <c r="K170" s="5"/>
      <c r="L170" s="5"/>
      <c r="M170" s="5">
        <f>154+23171.89</f>
        <v>23325.89</v>
      </c>
      <c r="N170" s="5">
        <v>117</v>
      </c>
      <c r="O170" s="5">
        <v>5197</v>
      </c>
      <c r="P170" s="5">
        <v>11811.94</v>
      </c>
      <c r="Q170" s="5">
        <v>540.88</v>
      </c>
    </row>
    <row r="171" spans="1:17" ht="12.75">
      <c r="A171" s="1"/>
      <c r="B171" s="1"/>
      <c r="C171" s="1"/>
      <c r="D171" s="5"/>
      <c r="E171" s="5"/>
      <c r="F171" s="40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>
      <c r="A172" s="1" t="s">
        <v>25</v>
      </c>
      <c r="B172" s="1">
        <v>8</v>
      </c>
      <c r="C172" s="1">
        <v>353.9</v>
      </c>
      <c r="D172" s="5">
        <v>30157.4</v>
      </c>
      <c r="E172" s="5">
        <v>26264.12</v>
      </c>
      <c r="F172" s="40">
        <f>E172*100/D172</f>
        <v>87.0901337648471</v>
      </c>
      <c r="G172" s="5">
        <f>H172+O172</f>
        <v>26710.61</v>
      </c>
      <c r="H172" s="5">
        <v>20764.61</v>
      </c>
      <c r="I172" s="5">
        <f>SUM(J172:N172)</f>
        <v>20764.61</v>
      </c>
      <c r="J172" s="5">
        <v>2867.31</v>
      </c>
      <c r="K172" s="5"/>
      <c r="L172" s="5">
        <v>289.47</v>
      </c>
      <c r="M172" s="5">
        <f>179+17428.83</f>
        <v>17607.83</v>
      </c>
      <c r="N172" s="5"/>
      <c r="O172" s="5">
        <v>5946</v>
      </c>
      <c r="P172" s="5">
        <v>36474.17</v>
      </c>
      <c r="Q172" s="5">
        <v>22294.4</v>
      </c>
    </row>
    <row r="173" spans="1:17" ht="12.75">
      <c r="A173" s="1"/>
      <c r="B173" s="1"/>
      <c r="C173" s="1"/>
      <c r="D173" s="5"/>
      <c r="E173" s="5"/>
      <c r="F173" s="40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>
      <c r="A174" s="1" t="s">
        <v>25</v>
      </c>
      <c r="B174" s="1">
        <v>9</v>
      </c>
      <c r="C174" s="1">
        <v>378.3</v>
      </c>
      <c r="D174" s="5">
        <v>32322</v>
      </c>
      <c r="E174" s="5">
        <v>29870.7</v>
      </c>
      <c r="F174" s="40">
        <f>E174*100/D174</f>
        <v>92.41600148505661</v>
      </c>
      <c r="G174" s="5">
        <f>H174+O174</f>
        <v>26279.52</v>
      </c>
      <c r="H174" s="5">
        <f>19924.52</f>
        <v>19924.52</v>
      </c>
      <c r="I174" s="5">
        <f>SUM(J174:N174)</f>
        <v>19924.52</v>
      </c>
      <c r="J174" s="5">
        <v>3064.99</v>
      </c>
      <c r="K174" s="5"/>
      <c r="L174" s="5">
        <v>304.39</v>
      </c>
      <c r="M174" s="5">
        <f>175+16380.14</f>
        <v>16555.14</v>
      </c>
      <c r="N174" s="5"/>
      <c r="O174" s="5">
        <v>6355</v>
      </c>
      <c r="P174" s="5">
        <v>17879.03</v>
      </c>
      <c r="Q174" s="5">
        <v>11471.84</v>
      </c>
    </row>
    <row r="175" spans="1:17" ht="12.75">
      <c r="A175" s="1"/>
      <c r="B175" s="1"/>
      <c r="C175" s="1"/>
      <c r="D175" s="5"/>
      <c r="E175" s="5"/>
      <c r="F175" s="40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>
      <c r="A176" s="1" t="s">
        <v>25</v>
      </c>
      <c r="B176" s="1">
        <v>10</v>
      </c>
      <c r="C176" s="1">
        <v>376.4</v>
      </c>
      <c r="D176" s="5">
        <v>32159.52</v>
      </c>
      <c r="E176" s="5">
        <v>34232.79</v>
      </c>
      <c r="F176" s="40">
        <f>E176*100/D176</f>
        <v>106.4468312959895</v>
      </c>
      <c r="G176" s="5">
        <f>H176+O176</f>
        <v>26559.7</v>
      </c>
      <c r="H176" s="5">
        <f>20235.7</f>
        <v>20235.7</v>
      </c>
      <c r="I176" s="5">
        <f>SUM(J176:N176)</f>
        <v>20235.7</v>
      </c>
      <c r="J176" s="5">
        <v>3049.59</v>
      </c>
      <c r="K176" s="5"/>
      <c r="L176" s="5">
        <v>287.46</v>
      </c>
      <c r="M176" s="5">
        <f>177+15902.65</f>
        <v>16079.65</v>
      </c>
      <c r="N176" s="5">
        <v>819</v>
      </c>
      <c r="O176" s="5">
        <v>6324</v>
      </c>
      <c r="P176" s="5">
        <v>8982.1</v>
      </c>
      <c r="Q176" s="5">
        <v>6069.45</v>
      </c>
    </row>
    <row r="177" spans="1:17" ht="12.75">
      <c r="A177" s="1"/>
      <c r="B177" s="1"/>
      <c r="C177" s="1"/>
      <c r="D177" s="5"/>
      <c r="E177" s="5"/>
      <c r="F177" s="40"/>
      <c r="G177" s="5"/>
      <c r="H177" s="18"/>
      <c r="I177" s="5"/>
      <c r="J177" s="18"/>
      <c r="K177" s="18"/>
      <c r="L177" s="18"/>
      <c r="M177" s="18"/>
      <c r="N177" s="18"/>
      <c r="O177" s="18"/>
      <c r="P177" s="18"/>
      <c r="Q177" s="18"/>
    </row>
    <row r="178" spans="1:17" ht="12.75">
      <c r="A178" s="1" t="s">
        <v>25</v>
      </c>
      <c r="B178" s="1">
        <v>11</v>
      </c>
      <c r="C178" s="1">
        <v>366.5</v>
      </c>
      <c r="D178" s="5">
        <v>31313.76</v>
      </c>
      <c r="E178" s="5">
        <v>39924.23</v>
      </c>
      <c r="F178" s="40">
        <f>E178*100/D178</f>
        <v>127.4974005038041</v>
      </c>
      <c r="G178" s="5">
        <f>H178+O178</f>
        <v>26446.61</v>
      </c>
      <c r="H178" s="5">
        <f>20289.61</f>
        <v>20289.61</v>
      </c>
      <c r="I178" s="5">
        <f>SUM(J178:N178)</f>
        <v>20289.61</v>
      </c>
      <c r="J178" s="5">
        <v>2969.38</v>
      </c>
      <c r="K178" s="5"/>
      <c r="L178" s="5">
        <v>316.34</v>
      </c>
      <c r="M178" s="5">
        <f>185+16818.89</f>
        <v>17003.89</v>
      </c>
      <c r="N178" s="5"/>
      <c r="O178" s="5">
        <v>6157</v>
      </c>
      <c r="P178" s="5">
        <v>49260.43</v>
      </c>
      <c r="Q178" s="5">
        <v>20233.86</v>
      </c>
    </row>
    <row r="179" spans="1:17" ht="12.75">
      <c r="A179" s="1"/>
      <c r="B179" s="1"/>
      <c r="C179" s="1"/>
      <c r="D179" s="5"/>
      <c r="E179" s="5"/>
      <c r="F179" s="40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>
      <c r="A180" s="1" t="s">
        <v>25</v>
      </c>
      <c r="B180" s="1">
        <v>12</v>
      </c>
      <c r="C180" s="1">
        <v>269.9</v>
      </c>
      <c r="D180" s="5">
        <v>24692.28</v>
      </c>
      <c r="E180" s="5">
        <v>23984.34</v>
      </c>
      <c r="F180" s="40">
        <f>E180*100/D180</f>
        <v>97.13295005564493</v>
      </c>
      <c r="G180" s="5">
        <f>H180+O180</f>
        <v>11104.08</v>
      </c>
      <c r="H180" s="5">
        <v>6249.08</v>
      </c>
      <c r="I180" s="5">
        <f>SUM(J180:N180)</f>
        <v>6249.08</v>
      </c>
      <c r="J180" s="5">
        <v>2341.49</v>
      </c>
      <c r="K180" s="5"/>
      <c r="L180" s="5">
        <v>304.39</v>
      </c>
      <c r="M180" s="5">
        <f>146+3457.2</f>
        <v>3603.2</v>
      </c>
      <c r="N180" s="5"/>
      <c r="O180" s="5">
        <v>4855</v>
      </c>
      <c r="P180" s="5">
        <v>6877.24</v>
      </c>
      <c r="Q180" s="5">
        <v>268.93</v>
      </c>
    </row>
    <row r="181" spans="1:17" ht="12.75">
      <c r="A181" s="1"/>
      <c r="B181" s="1"/>
      <c r="C181" s="1"/>
      <c r="D181" s="5"/>
      <c r="E181" s="5"/>
      <c r="F181" s="4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1" t="s">
        <v>25</v>
      </c>
      <c r="B182" s="1">
        <v>13</v>
      </c>
      <c r="C182" s="1">
        <v>285.9</v>
      </c>
      <c r="D182" s="5">
        <v>25870.32</v>
      </c>
      <c r="E182" s="5">
        <v>26085.32</v>
      </c>
      <c r="F182" s="40">
        <f>E182*100/D182</f>
        <v>100.83106818933821</v>
      </c>
      <c r="G182" s="5">
        <f>H182+O182</f>
        <v>11492.35</v>
      </c>
      <c r="H182" s="5">
        <f>6405.35</f>
        <v>6405.35</v>
      </c>
      <c r="I182" s="5">
        <f>SUM(J182:N182)</f>
        <v>6405.34</v>
      </c>
      <c r="J182" s="5">
        <v>2453.19</v>
      </c>
      <c r="K182" s="5"/>
      <c r="L182" s="5">
        <v>235.74</v>
      </c>
      <c r="M182" s="5">
        <f>153+3563.41</f>
        <v>3716.41</v>
      </c>
      <c r="N182" s="5"/>
      <c r="O182" s="5">
        <v>5087</v>
      </c>
      <c r="P182" s="5">
        <v>8009.39</v>
      </c>
      <c r="Q182" s="5">
        <v>0.44</v>
      </c>
    </row>
    <row r="183" spans="1:17" ht="12.75">
      <c r="A183" s="1"/>
      <c r="B183" s="1"/>
      <c r="C183" s="1"/>
      <c r="D183" s="5"/>
      <c r="E183" s="5"/>
      <c r="F183" s="40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1" t="s">
        <v>25</v>
      </c>
      <c r="B184" s="1">
        <v>14</v>
      </c>
      <c r="C184" s="1">
        <v>276.4</v>
      </c>
      <c r="D184" s="5">
        <v>23615.64</v>
      </c>
      <c r="E184" s="5">
        <v>21699.95</v>
      </c>
      <c r="F184" s="40">
        <f>E184*100/D184</f>
        <v>91.88804538009556</v>
      </c>
      <c r="G184" s="5">
        <f>H184+O184</f>
        <v>10838.57</v>
      </c>
      <c r="H184" s="5">
        <v>6194.57</v>
      </c>
      <c r="I184" s="5">
        <f>SUM(J184:N184)</f>
        <v>6194.57</v>
      </c>
      <c r="J184" s="5">
        <v>2239.39</v>
      </c>
      <c r="K184" s="5"/>
      <c r="L184" s="5">
        <v>237.74</v>
      </c>
      <c r="M184" s="5">
        <f>140+3577.44</f>
        <v>3717.44</v>
      </c>
      <c r="N184" s="5"/>
      <c r="O184" s="5">
        <v>4644</v>
      </c>
      <c r="P184" s="5">
        <v>5914.75</v>
      </c>
      <c r="Q184" s="5">
        <v>2765.83</v>
      </c>
    </row>
    <row r="185" spans="1:17" ht="12.75">
      <c r="A185" s="1"/>
      <c r="B185" s="1"/>
      <c r="C185" s="1"/>
      <c r="D185" s="5"/>
      <c r="E185" s="5"/>
      <c r="F185" s="40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1" t="s">
        <v>25</v>
      </c>
      <c r="B186" s="1">
        <v>15</v>
      </c>
      <c r="C186" s="1">
        <v>284.4</v>
      </c>
      <c r="D186" s="5">
        <v>27084.48</v>
      </c>
      <c r="E186" s="5">
        <v>24382.28</v>
      </c>
      <c r="F186" s="40">
        <f>E186*100/D186</f>
        <v>90.02306856177412</v>
      </c>
      <c r="G186" s="5">
        <f>H186+O186</f>
        <v>11805.34</v>
      </c>
      <c r="H186" s="5">
        <f>6479.34</f>
        <v>6479.34</v>
      </c>
      <c r="I186" s="5">
        <f>SUM(J186:N186)</f>
        <v>6479.34</v>
      </c>
      <c r="J186" s="5">
        <v>2568.34</v>
      </c>
      <c r="K186" s="5"/>
      <c r="L186" s="5">
        <v>304.39</v>
      </c>
      <c r="M186" s="5">
        <f>160+3446.61</f>
        <v>3606.61</v>
      </c>
      <c r="N186" s="5"/>
      <c r="O186" s="5">
        <v>5326</v>
      </c>
      <c r="P186" s="5">
        <v>11392.57</v>
      </c>
      <c r="Q186" s="5">
        <v>9403.1</v>
      </c>
    </row>
    <row r="187" spans="1:17" ht="12.75">
      <c r="A187" s="1"/>
      <c r="B187" s="1"/>
      <c r="C187" s="1"/>
      <c r="D187" s="5"/>
      <c r="E187" s="5"/>
      <c r="F187" s="40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>
      <c r="A188" s="1" t="s">
        <v>25</v>
      </c>
      <c r="B188" s="1">
        <v>17</v>
      </c>
      <c r="C188" s="1">
        <v>278.5</v>
      </c>
      <c r="D188" s="5">
        <v>23795.04</v>
      </c>
      <c r="E188" s="5">
        <v>22166.26</v>
      </c>
      <c r="F188" s="40">
        <f>E188*100/D188</f>
        <v>93.15496002528258</v>
      </c>
      <c r="G188" s="5">
        <f>H188+O188</f>
        <v>10912.86</v>
      </c>
      <c r="H188" s="5">
        <f>6233.86</f>
        <v>6233.86</v>
      </c>
      <c r="I188" s="5">
        <f>SUM(J188:N188)</f>
        <v>6233.879999999999</v>
      </c>
      <c r="J188" s="5">
        <v>2256.41</v>
      </c>
      <c r="K188" s="5"/>
      <c r="L188" s="5">
        <v>254.66</v>
      </c>
      <c r="M188" s="5">
        <f>141+3581.81</f>
        <v>3722.81</v>
      </c>
      <c r="N188" s="5"/>
      <c r="O188" s="5">
        <v>4679</v>
      </c>
      <c r="P188" s="5">
        <v>6962.02</v>
      </c>
      <c r="Q188" s="5">
        <v>1826.17</v>
      </c>
    </row>
    <row r="189" spans="1:17" ht="12.75">
      <c r="A189" s="1"/>
      <c r="B189" s="1"/>
      <c r="C189" s="1"/>
      <c r="D189" s="5"/>
      <c r="E189" s="5"/>
      <c r="F189" s="40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>
      <c r="A190" s="1" t="s">
        <v>25</v>
      </c>
      <c r="B190" s="1">
        <v>18</v>
      </c>
      <c r="C190" s="1">
        <v>246.7</v>
      </c>
      <c r="D190" s="5">
        <v>23940.24</v>
      </c>
      <c r="E190" s="5">
        <v>24434.42</v>
      </c>
      <c r="F190" s="40">
        <f>E190*100/D190</f>
        <v>102.0642232492239</v>
      </c>
      <c r="G190" s="5">
        <f>H190+O190</f>
        <v>10579.189999999999</v>
      </c>
      <c r="H190" s="5">
        <f>5872.19</f>
        <v>5872.19</v>
      </c>
      <c r="I190" s="5">
        <f>SUM(J190:N190)</f>
        <v>5872.1900000000005</v>
      </c>
      <c r="J190" s="5">
        <v>2270.18</v>
      </c>
      <c r="K190" s="5"/>
      <c r="L190" s="5">
        <v>249.69</v>
      </c>
      <c r="M190" s="5">
        <f>141+3211.32</f>
        <v>3352.32</v>
      </c>
      <c r="N190" s="5"/>
      <c r="O190" s="5">
        <v>4707</v>
      </c>
      <c r="P190" s="5">
        <v>4886.88</v>
      </c>
      <c r="Q190" s="5">
        <v>1975.24</v>
      </c>
    </row>
    <row r="191" spans="1:17" ht="12.75">
      <c r="A191" s="1"/>
      <c r="B191" s="1"/>
      <c r="C191" s="1"/>
      <c r="D191" s="5"/>
      <c r="E191" s="5"/>
      <c r="F191" s="40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>
      <c r="A192" s="1" t="s">
        <v>25</v>
      </c>
      <c r="B192" s="1">
        <v>20</v>
      </c>
      <c r="C192" s="1">
        <v>280.3</v>
      </c>
      <c r="D192" s="5">
        <v>23948.88</v>
      </c>
      <c r="E192" s="5">
        <v>24460.88</v>
      </c>
      <c r="F192" s="40">
        <f>E192*100/D192</f>
        <v>102.13788703271301</v>
      </c>
      <c r="G192" s="5">
        <f>H192+O192</f>
        <v>26059.3</v>
      </c>
      <c r="H192" s="5">
        <f>21350.3</f>
        <v>21350.3</v>
      </c>
      <c r="I192" s="5">
        <f>SUM(J192:N192)</f>
        <v>21349.739999999998</v>
      </c>
      <c r="J192" s="5">
        <v>2271</v>
      </c>
      <c r="K192" s="5"/>
      <c r="L192" s="5">
        <v>237.74</v>
      </c>
      <c r="M192" s="5">
        <f>142+18699</f>
        <v>18841</v>
      </c>
      <c r="N192" s="5"/>
      <c r="O192" s="5">
        <v>4709</v>
      </c>
      <c r="P192" s="5">
        <v>1974.79</v>
      </c>
      <c r="Q192" s="5">
        <v>897.12</v>
      </c>
    </row>
    <row r="193" spans="1:17" ht="12.75">
      <c r="A193" s="1"/>
      <c r="B193" s="1"/>
      <c r="C193" s="1"/>
      <c r="D193" s="5"/>
      <c r="E193" s="5"/>
      <c r="F193" s="40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>
      <c r="A194" s="15" t="s">
        <v>32</v>
      </c>
      <c r="B194" s="34">
        <v>3</v>
      </c>
      <c r="C194" s="11"/>
      <c r="D194" s="81"/>
      <c r="E194" s="81"/>
      <c r="F194" s="76"/>
      <c r="G194" s="5"/>
      <c r="H194" s="81"/>
      <c r="I194" s="5"/>
      <c r="J194" s="81"/>
      <c r="K194" s="81"/>
      <c r="L194" s="81"/>
      <c r="M194" s="81"/>
      <c r="N194" s="81"/>
      <c r="O194" s="81"/>
      <c r="P194" s="81"/>
      <c r="Q194" s="81"/>
    </row>
    <row r="195" spans="1:17" ht="12.75">
      <c r="A195" s="4" t="s">
        <v>48</v>
      </c>
      <c r="B195" s="1"/>
      <c r="C195" s="4">
        <v>1280.7</v>
      </c>
      <c r="D195" s="39">
        <v>152153.02</v>
      </c>
      <c r="E195" s="39">
        <v>144396.32</v>
      </c>
      <c r="F195" s="12">
        <f>E195*100/D195</f>
        <v>94.90204006466648</v>
      </c>
      <c r="G195" s="5">
        <f aca="true" t="shared" si="0" ref="G195:G200">H195+O195</f>
        <v>239577.83</v>
      </c>
      <c r="H195" s="39">
        <f>203461.83</f>
        <v>203461.83</v>
      </c>
      <c r="I195" s="5"/>
      <c r="J195" s="39"/>
      <c r="K195" s="39"/>
      <c r="L195" s="39"/>
      <c r="M195" s="39"/>
      <c r="N195" s="39"/>
      <c r="O195" s="39">
        <v>36116</v>
      </c>
      <c r="P195" s="82">
        <v>65993.64</v>
      </c>
      <c r="Q195" s="82">
        <v>21387.49</v>
      </c>
    </row>
    <row r="196" spans="1:17" ht="12.75">
      <c r="A196" s="4" t="s">
        <v>51</v>
      </c>
      <c r="B196" s="4"/>
      <c r="C196" s="4">
        <f>SUM(C197:C199)</f>
        <v>753.8</v>
      </c>
      <c r="D196" s="39">
        <f>SUM(D197:D199)</f>
        <v>45935.56</v>
      </c>
      <c r="E196" s="39">
        <f>SUM(E197:E199)</f>
        <v>47590.36</v>
      </c>
      <c r="F196" s="12">
        <f>E196*100/D196</f>
        <v>103.60243784989234</v>
      </c>
      <c r="G196" s="5">
        <f t="shared" si="0"/>
        <v>21257.16</v>
      </c>
      <c r="H196" s="39">
        <f>SUM(H197:H199)</f>
        <v>0</v>
      </c>
      <c r="I196" s="5"/>
      <c r="J196" s="39"/>
      <c r="K196" s="39"/>
      <c r="L196" s="39"/>
      <c r="M196" s="39"/>
      <c r="N196" s="39"/>
      <c r="O196" s="39">
        <f>O197+O198+O199</f>
        <v>21257.16</v>
      </c>
      <c r="P196" s="82">
        <v>1654.8</v>
      </c>
      <c r="Q196" s="39"/>
    </row>
    <row r="197" spans="1:17" ht="12.75">
      <c r="A197" s="10" t="s">
        <v>45</v>
      </c>
      <c r="B197" s="1"/>
      <c r="C197" s="1">
        <v>315.2</v>
      </c>
      <c r="D197" s="5">
        <v>18836.4</v>
      </c>
      <c r="E197" s="5">
        <v>20491.2</v>
      </c>
      <c r="F197" s="40">
        <f>E197*100/D197</f>
        <v>108.78511817544754</v>
      </c>
      <c r="G197" s="5">
        <f t="shared" si="0"/>
        <v>8888.64</v>
      </c>
      <c r="H197" s="5"/>
      <c r="I197" s="5"/>
      <c r="J197" s="5"/>
      <c r="K197" s="5"/>
      <c r="L197" s="5"/>
      <c r="M197" s="5"/>
      <c r="N197" s="5"/>
      <c r="O197" s="5">
        <f>C197*2.35*12</f>
        <v>8888.64</v>
      </c>
      <c r="P197" s="5"/>
      <c r="Q197" s="5"/>
    </row>
    <row r="198" spans="1:17" ht="12.75">
      <c r="A198" s="17" t="s">
        <v>46</v>
      </c>
      <c r="B198" s="14"/>
      <c r="C198" s="1">
        <v>247.8</v>
      </c>
      <c r="D198" s="5">
        <v>15697</v>
      </c>
      <c r="E198" s="5">
        <v>15697</v>
      </c>
      <c r="F198" s="40">
        <f>E198*100/D198</f>
        <v>100</v>
      </c>
      <c r="G198" s="5">
        <f t="shared" si="0"/>
        <v>6987.960000000001</v>
      </c>
      <c r="H198" s="5"/>
      <c r="I198" s="5"/>
      <c r="J198" s="5"/>
      <c r="K198" s="5"/>
      <c r="L198" s="5"/>
      <c r="M198" s="5"/>
      <c r="N198" s="5"/>
      <c r="O198" s="5">
        <f>C198*2.35*12</f>
        <v>6987.960000000001</v>
      </c>
      <c r="P198" s="5"/>
      <c r="Q198" s="5"/>
    </row>
    <row r="199" spans="1:17" ht="12.75">
      <c r="A199" s="10" t="s">
        <v>47</v>
      </c>
      <c r="B199" s="28"/>
      <c r="C199" s="1">
        <v>190.8</v>
      </c>
      <c r="D199" s="5">
        <v>11402.16</v>
      </c>
      <c r="E199" s="5">
        <v>11402.16</v>
      </c>
      <c r="F199" s="40"/>
      <c r="G199" s="5">
        <f t="shared" si="0"/>
        <v>5380.56</v>
      </c>
      <c r="H199" s="5">
        <v>0</v>
      </c>
      <c r="I199" s="5"/>
      <c r="J199" s="5"/>
      <c r="K199" s="5"/>
      <c r="L199" s="5"/>
      <c r="M199" s="5"/>
      <c r="N199" s="5"/>
      <c r="O199" s="5">
        <f>C199*2.35*12</f>
        <v>5380.56</v>
      </c>
      <c r="P199" s="5"/>
      <c r="Q199" s="5"/>
    </row>
    <row r="200" spans="1:17" ht="12.75">
      <c r="A200" s="16" t="s">
        <v>49</v>
      </c>
      <c r="B200" s="35"/>
      <c r="C200" s="4">
        <f>C196+C195</f>
        <v>2034.5</v>
      </c>
      <c r="D200" s="39">
        <f>D195+D196</f>
        <v>198088.58</v>
      </c>
      <c r="E200" s="39">
        <f>E195+E196</f>
        <v>191986.68</v>
      </c>
      <c r="F200" s="12">
        <f>E200*100/D200</f>
        <v>96.91961040863639</v>
      </c>
      <c r="G200" s="5">
        <f t="shared" si="0"/>
        <v>260834.99</v>
      </c>
      <c r="H200" s="39">
        <f>H195+H196</f>
        <v>203461.83</v>
      </c>
      <c r="I200" s="5">
        <f>SUM(J200:N200)</f>
        <v>203461.83</v>
      </c>
      <c r="J200" s="39">
        <v>9835.78</v>
      </c>
      <c r="K200" s="39">
        <v>1310.4</v>
      </c>
      <c r="L200" s="39">
        <v>1075.75</v>
      </c>
      <c r="M200" s="39">
        <f>21503.47+166694.43</f>
        <v>188197.9</v>
      </c>
      <c r="N200" s="39">
        <v>3042</v>
      </c>
      <c r="O200" s="39">
        <f>O195+O196</f>
        <v>57373.16</v>
      </c>
      <c r="P200" s="39">
        <f>P195+P196</f>
        <v>67648.44</v>
      </c>
      <c r="Q200" s="39">
        <f>Q195+Q196</f>
        <v>21387.49</v>
      </c>
    </row>
    <row r="201" spans="1:17" ht="12.75">
      <c r="A201" s="1"/>
      <c r="B201" s="28"/>
      <c r="C201" s="1"/>
      <c r="D201" s="5"/>
      <c r="E201" s="5"/>
      <c r="F201" s="40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>
      <c r="A202" s="1" t="s">
        <v>32</v>
      </c>
      <c r="B202" s="28">
        <v>4</v>
      </c>
      <c r="C202" s="1">
        <v>1350.6</v>
      </c>
      <c r="D202" s="5">
        <v>112315.96</v>
      </c>
      <c r="E202" s="5">
        <v>106848.81</v>
      </c>
      <c r="F202" s="40">
        <f>E202*100/D202</f>
        <v>95.13234806522598</v>
      </c>
      <c r="G202" s="5">
        <f>H202+O202</f>
        <v>111495.03</v>
      </c>
      <c r="H202" s="5">
        <f>88805.03</f>
        <v>88805.03</v>
      </c>
      <c r="I202" s="5">
        <f>SUM(J202:N202)</f>
        <v>88805.03</v>
      </c>
      <c r="J202" s="5">
        <v>10610.33</v>
      </c>
      <c r="K202" s="5">
        <v>805</v>
      </c>
      <c r="L202" s="5">
        <v>1084.25</v>
      </c>
      <c r="M202" s="5">
        <f>21530.77+20061.68+33660</f>
        <v>75252.45</v>
      </c>
      <c r="N202" s="5">
        <v>1053</v>
      </c>
      <c r="O202" s="5">
        <v>22690</v>
      </c>
      <c r="P202" s="5">
        <v>66950.51</v>
      </c>
      <c r="Q202" s="5">
        <v>23045.36</v>
      </c>
    </row>
    <row r="203" spans="1:17" ht="12.75">
      <c r="A203" s="1"/>
      <c r="B203" s="28"/>
      <c r="C203" s="1"/>
      <c r="D203" s="5"/>
      <c r="E203" s="5"/>
      <c r="F203" s="40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>
      <c r="A204" s="1" t="s">
        <v>32</v>
      </c>
      <c r="B204" s="28" t="s">
        <v>26</v>
      </c>
      <c r="C204" s="1">
        <v>691.8</v>
      </c>
      <c r="D204" s="5">
        <v>80547.56</v>
      </c>
      <c r="E204" s="5">
        <v>75709.34</v>
      </c>
      <c r="F204" s="40">
        <f>E204*100/D204</f>
        <v>93.99333760079139</v>
      </c>
      <c r="G204" s="5">
        <f>H204+O204</f>
        <v>76138.06</v>
      </c>
      <c r="H204" s="5">
        <f>56629.06</f>
        <v>56629.06</v>
      </c>
      <c r="I204" s="5">
        <f>SUM(J204:N204)</f>
        <v>56629.06</v>
      </c>
      <c r="J204" s="5">
        <v>5313.16</v>
      </c>
      <c r="K204" s="5">
        <v>0</v>
      </c>
      <c r="L204" s="5">
        <v>547.06</v>
      </c>
      <c r="M204" s="5">
        <f>13098.04+9730.8+25600</f>
        <v>48428.84</v>
      </c>
      <c r="N204" s="5">
        <v>2340</v>
      </c>
      <c r="O204" s="5">
        <v>19509</v>
      </c>
      <c r="P204" s="5">
        <v>27019.45</v>
      </c>
      <c r="Q204" s="5">
        <v>4087.42</v>
      </c>
    </row>
    <row r="205" spans="1:17" ht="12.75">
      <c r="A205" s="1"/>
      <c r="B205" s="28"/>
      <c r="C205" s="1"/>
      <c r="D205" s="5"/>
      <c r="E205" s="5"/>
      <c r="F205" s="40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>
      <c r="A206" s="1" t="s">
        <v>32</v>
      </c>
      <c r="B206" s="28">
        <v>19</v>
      </c>
      <c r="C206" s="1">
        <v>51.6</v>
      </c>
      <c r="D206" s="5">
        <v>3565.01</v>
      </c>
      <c r="E206" s="5">
        <v>885.35</v>
      </c>
      <c r="F206" s="40">
        <f>E206*100/D206</f>
        <v>24.834432441984735</v>
      </c>
      <c r="G206" s="5">
        <f>H206+O206</f>
        <v>1001.28</v>
      </c>
      <c r="H206" s="5">
        <f>252.28</f>
        <v>252.28</v>
      </c>
      <c r="I206" s="5">
        <f>SUM(J206:N206)</f>
        <v>252.28</v>
      </c>
      <c r="J206" s="5"/>
      <c r="K206" s="5"/>
      <c r="L206" s="5">
        <v>106.94</v>
      </c>
      <c r="M206" s="5">
        <v>145.34</v>
      </c>
      <c r="N206" s="5"/>
      <c r="O206" s="5">
        <v>749</v>
      </c>
      <c r="P206" s="5">
        <v>6872.92</v>
      </c>
      <c r="Q206" s="18">
        <v>4606.76</v>
      </c>
    </row>
    <row r="207" spans="1:17" ht="12.75">
      <c r="A207" s="1"/>
      <c r="B207" s="28"/>
      <c r="C207" s="1"/>
      <c r="D207" s="5"/>
      <c r="E207" s="5"/>
      <c r="F207" s="40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>
      <c r="A208" s="1" t="s">
        <v>32</v>
      </c>
      <c r="B208" s="28">
        <v>7</v>
      </c>
      <c r="C208" s="1">
        <v>116.7</v>
      </c>
      <c r="D208" s="5">
        <v>2991.6</v>
      </c>
      <c r="E208" s="5">
        <v>2427.95</v>
      </c>
      <c r="F208" s="40">
        <f>E208*100/D208</f>
        <v>81.15891161920042</v>
      </c>
      <c r="G208" s="5">
        <f>H208+O208</f>
        <v>2214.24</v>
      </c>
      <c r="H208" s="5">
        <f>506.24</f>
        <v>506.24</v>
      </c>
      <c r="I208" s="5">
        <f>SUM(J208:N208)</f>
        <v>506.33</v>
      </c>
      <c r="J208" s="5">
        <v>0</v>
      </c>
      <c r="K208" s="5">
        <v>0</v>
      </c>
      <c r="L208" s="5">
        <v>106.94</v>
      </c>
      <c r="M208" s="5">
        <f>399.4-0.01</f>
        <v>399.39</v>
      </c>
      <c r="N208" s="5"/>
      <c r="O208" s="5">
        <v>1708</v>
      </c>
      <c r="P208" s="5">
        <v>82.38</v>
      </c>
      <c r="Q208" s="5">
        <v>0</v>
      </c>
    </row>
    <row r="209" spans="1:17" ht="12.75">
      <c r="A209" s="1"/>
      <c r="B209" s="28"/>
      <c r="C209" s="1"/>
      <c r="D209" s="5"/>
      <c r="E209" s="5"/>
      <c r="F209" s="40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>
      <c r="A210" s="1" t="s">
        <v>33</v>
      </c>
      <c r="B210" s="28">
        <v>9</v>
      </c>
      <c r="C210" s="1">
        <v>391.7</v>
      </c>
      <c r="D210" s="5">
        <v>25295.14</v>
      </c>
      <c r="E210" s="5">
        <v>26342.18</v>
      </c>
      <c r="F210" s="40">
        <f>E210*100/D210</f>
        <v>104.13929316066249</v>
      </c>
      <c r="G210" s="5">
        <f>H210+O210</f>
        <v>19842.89</v>
      </c>
      <c r="H210" s="5">
        <f>14155.89</f>
        <v>14155.89</v>
      </c>
      <c r="I210" s="5">
        <f>SUM(J210:N210)</f>
        <v>14155.89</v>
      </c>
      <c r="J210" s="5">
        <v>3183.73</v>
      </c>
      <c r="K210" s="5"/>
      <c r="L210" s="5">
        <v>482.98</v>
      </c>
      <c r="M210" s="5">
        <f>6484.82+4004.36</f>
        <v>10489.18</v>
      </c>
      <c r="N210" s="5"/>
      <c r="O210" s="5">
        <v>5687</v>
      </c>
      <c r="P210" s="18">
        <v>22605.98</v>
      </c>
      <c r="Q210" s="5">
        <v>6711.15</v>
      </c>
    </row>
    <row r="211" spans="1:17" ht="12.75">
      <c r="A211" s="1"/>
      <c r="B211" s="28"/>
      <c r="C211" s="1"/>
      <c r="D211" s="5"/>
      <c r="E211" s="5"/>
      <c r="F211" s="40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>
      <c r="A212" s="1" t="s">
        <v>34</v>
      </c>
      <c r="B212" s="28">
        <v>10</v>
      </c>
      <c r="C212" s="1">
        <v>620.4</v>
      </c>
      <c r="D212" s="5">
        <v>41310.33</v>
      </c>
      <c r="E212" s="5">
        <v>42664.45</v>
      </c>
      <c r="F212" s="40">
        <f>E212*100/D212</f>
        <v>103.27792104299336</v>
      </c>
      <c r="G212" s="5">
        <f>H212+O212</f>
        <v>41023.630000000005</v>
      </c>
      <c r="H212" s="5">
        <f>30600.63</f>
        <v>30600.63</v>
      </c>
      <c r="I212" s="5">
        <f>SUM(J212:N212)</f>
        <v>30600.63</v>
      </c>
      <c r="J212" s="5">
        <v>5139.36</v>
      </c>
      <c r="K212" s="5"/>
      <c r="L212" s="5"/>
      <c r="M212" s="5">
        <f>19344.83+6116.44</f>
        <v>25461.27</v>
      </c>
      <c r="N212" s="5"/>
      <c r="O212" s="5">
        <v>10423</v>
      </c>
      <c r="P212" s="5">
        <v>52566.11</v>
      </c>
      <c r="Q212" s="5">
        <v>25141.28</v>
      </c>
    </row>
    <row r="213" spans="1:17" ht="12.75">
      <c r="A213" s="1"/>
      <c r="B213" s="28"/>
      <c r="C213" s="1"/>
      <c r="D213" s="5"/>
      <c r="E213" s="5"/>
      <c r="F213" s="40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>
      <c r="A214" s="1" t="s">
        <v>34</v>
      </c>
      <c r="B214" s="28">
        <v>6</v>
      </c>
      <c r="C214" s="1">
        <v>832.1</v>
      </c>
      <c r="D214" s="5">
        <v>71094.72</v>
      </c>
      <c r="E214" s="5">
        <v>67132.59</v>
      </c>
      <c r="F214" s="40">
        <f>E214*100/D214</f>
        <v>94.42697010410899</v>
      </c>
      <c r="G214" s="5">
        <f>H214+O214</f>
        <v>81209.73999999999</v>
      </c>
      <c r="H214" s="5">
        <f>62677.74+4553</f>
        <v>67230.73999999999</v>
      </c>
      <c r="I214" s="5">
        <f>SUM(J214:N214)</f>
        <v>67230.74</v>
      </c>
      <c r="J214" s="5">
        <v>6818.24</v>
      </c>
      <c r="K214" s="5"/>
      <c r="L214" s="5"/>
      <c r="M214" s="5">
        <f>18365.23+36441.27+4553</f>
        <v>59359.5</v>
      </c>
      <c r="N214" s="5">
        <v>1053</v>
      </c>
      <c r="O214" s="5">
        <v>13979</v>
      </c>
      <c r="P214" s="5">
        <v>35264.34</v>
      </c>
      <c r="Q214" s="5">
        <v>490.21</v>
      </c>
    </row>
    <row r="215" spans="1:17" ht="12.75">
      <c r="A215" s="1"/>
      <c r="B215" s="28"/>
      <c r="C215" s="1"/>
      <c r="D215" s="5"/>
      <c r="E215" s="5"/>
      <c r="F215" s="40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>
      <c r="A216" s="1" t="s">
        <v>34</v>
      </c>
      <c r="B216" s="28">
        <v>8</v>
      </c>
      <c r="C216" s="1">
        <v>559.2</v>
      </c>
      <c r="D216" s="5">
        <v>47778</v>
      </c>
      <c r="E216" s="5">
        <v>47056.81</v>
      </c>
      <c r="F216" s="40">
        <f>E216*100/D216</f>
        <v>98.49053957888567</v>
      </c>
      <c r="G216" s="5">
        <f>H216+O216</f>
        <v>54652.29</v>
      </c>
      <c r="H216" s="5">
        <f>45257.29</f>
        <v>45257.29</v>
      </c>
      <c r="I216" s="5">
        <f>SUM(J216:N216)</f>
        <v>45257.29</v>
      </c>
      <c r="J216" s="5">
        <v>4582.07</v>
      </c>
      <c r="K216" s="5"/>
      <c r="L216" s="5"/>
      <c r="M216" s="5">
        <f>11539.16+11300+16783.06</f>
        <v>39622.22</v>
      </c>
      <c r="N216" s="5">
        <v>1053</v>
      </c>
      <c r="O216" s="5">
        <v>9395</v>
      </c>
      <c r="P216" s="5">
        <v>34244.13</v>
      </c>
      <c r="Q216" s="5">
        <v>14497.17</v>
      </c>
    </row>
    <row r="217" spans="1:17" ht="12.75">
      <c r="A217" s="1"/>
      <c r="B217" s="28"/>
      <c r="C217" s="1"/>
      <c r="D217" s="5"/>
      <c r="E217" s="5"/>
      <c r="F217" s="40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>
      <c r="A218" s="1" t="s">
        <v>35</v>
      </c>
      <c r="B218" s="28">
        <v>15</v>
      </c>
      <c r="C218" s="1">
        <v>480.5</v>
      </c>
      <c r="D218" s="5">
        <v>55781.25</v>
      </c>
      <c r="E218" s="5">
        <v>57889.72</v>
      </c>
      <c r="F218" s="40">
        <f>E218*100/D218</f>
        <v>103.77989019607843</v>
      </c>
      <c r="G218" s="5">
        <f>H218+O218</f>
        <v>96095.77</v>
      </c>
      <c r="H218" s="5">
        <f>82545.77</f>
        <v>82545.77</v>
      </c>
      <c r="I218" s="5">
        <f>SUM(J218:N218)</f>
        <v>82545.77</v>
      </c>
      <c r="J218" s="5">
        <v>3905.5</v>
      </c>
      <c r="K218" s="5"/>
      <c r="L218" s="5">
        <v>505.36</v>
      </c>
      <c r="M218" s="5">
        <f>36685.47+40045.44</f>
        <v>76730.91</v>
      </c>
      <c r="N218" s="5">
        <v>1404</v>
      </c>
      <c r="O218" s="5">
        <v>13550</v>
      </c>
      <c r="P218" s="5">
        <v>27682.86</v>
      </c>
      <c r="Q218" s="5">
        <v>8680.03</v>
      </c>
    </row>
    <row r="219" spans="1:17" ht="12.75">
      <c r="A219" s="1"/>
      <c r="B219" s="28"/>
      <c r="C219" s="1"/>
      <c r="D219" s="5"/>
      <c r="E219" s="5"/>
      <c r="F219" s="40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>
      <c r="A220" s="1" t="s">
        <v>35</v>
      </c>
      <c r="B220" s="28">
        <v>16</v>
      </c>
      <c r="C220" s="1">
        <v>551.7</v>
      </c>
      <c r="D220" s="5">
        <v>66954.41</v>
      </c>
      <c r="E220" s="5">
        <v>63423.57</v>
      </c>
      <c r="F220" s="40">
        <f>E220*100/D220</f>
        <v>94.72650121179471</v>
      </c>
      <c r="G220" s="5">
        <f>H220+O220</f>
        <v>95832.14</v>
      </c>
      <c r="H220" s="5">
        <v>80221.14</v>
      </c>
      <c r="I220" s="5">
        <f>SUM(J220:N220)</f>
        <v>80221.13999999998</v>
      </c>
      <c r="J220" s="5">
        <v>4219.33</v>
      </c>
      <c r="K220" s="5">
        <v>285.6</v>
      </c>
      <c r="L220" s="5">
        <v>471.47</v>
      </c>
      <c r="M220" s="5">
        <f>9767.1+35200+29341.64</f>
        <v>74308.73999999999</v>
      </c>
      <c r="N220" s="5">
        <v>936</v>
      </c>
      <c r="O220" s="5">
        <v>15611</v>
      </c>
      <c r="P220" s="5">
        <v>45696.81</v>
      </c>
      <c r="Q220" s="5">
        <v>20856.01</v>
      </c>
    </row>
    <row r="221" spans="1:17" ht="12.75">
      <c r="A221" s="1"/>
      <c r="B221" s="28"/>
      <c r="C221" s="1"/>
      <c r="D221" s="5"/>
      <c r="E221" s="5"/>
      <c r="F221" s="40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>
      <c r="A222" s="14" t="s">
        <v>35</v>
      </c>
      <c r="B222" s="32">
        <v>18</v>
      </c>
      <c r="C222" s="92">
        <v>285.7</v>
      </c>
      <c r="D222" s="18">
        <v>9349.4</v>
      </c>
      <c r="E222" s="18">
        <v>16423.06</v>
      </c>
      <c r="F222" s="74">
        <f>E222*100/D222</f>
        <v>175.65897276830603</v>
      </c>
      <c r="G222" s="5">
        <f>H222+O222</f>
        <v>6364.13</v>
      </c>
      <c r="H222" s="18">
        <f>5327.13</f>
        <v>5327.13</v>
      </c>
      <c r="I222" s="5">
        <f>SUM(J222:N222)</f>
        <v>5327.13</v>
      </c>
      <c r="J222" s="18">
        <v>1024.97</v>
      </c>
      <c r="K222" s="18"/>
      <c r="L222" s="18"/>
      <c r="M222" s="18">
        <v>4302.16</v>
      </c>
      <c r="N222" s="18"/>
      <c r="O222" s="18">
        <f>4148*3/12</f>
        <v>1037</v>
      </c>
      <c r="P222" s="18">
        <v>0</v>
      </c>
      <c r="Q222" s="18">
        <v>0</v>
      </c>
    </row>
    <row r="223" spans="1:17" ht="12.75">
      <c r="A223" s="1"/>
      <c r="B223" s="28"/>
      <c r="C223" s="1"/>
      <c r="D223" s="5"/>
      <c r="E223" s="5"/>
      <c r="F223" s="40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>
      <c r="A224" s="1" t="s">
        <v>38</v>
      </c>
      <c r="B224" s="28">
        <v>1</v>
      </c>
      <c r="C224" s="1">
        <v>566.21</v>
      </c>
      <c r="D224" s="5">
        <v>44639.04</v>
      </c>
      <c r="E224" s="5">
        <v>45374.28</v>
      </c>
      <c r="F224" s="40">
        <f>E224*100/D224</f>
        <v>101.64707843179423</v>
      </c>
      <c r="G224" s="5">
        <f>H224+O224</f>
        <v>40947</v>
      </c>
      <c r="H224" s="5">
        <f>26611</f>
        <v>26611</v>
      </c>
      <c r="I224" s="5">
        <f>SUM(J224:N224)</f>
        <v>26611.1</v>
      </c>
      <c r="J224" s="5">
        <v>4676.8</v>
      </c>
      <c r="K224" s="5"/>
      <c r="L224" s="5"/>
      <c r="M224" s="5">
        <v>21934.3</v>
      </c>
      <c r="N224" s="5"/>
      <c r="O224" s="5">
        <v>14336</v>
      </c>
      <c r="P224" s="5">
        <v>28761.35</v>
      </c>
      <c r="Q224" s="5">
        <v>15322.62</v>
      </c>
    </row>
    <row r="225" spans="1:17" ht="12.75">
      <c r="A225" s="1"/>
      <c r="B225" s="28"/>
      <c r="C225" s="1"/>
      <c r="D225" s="5"/>
      <c r="E225" s="5"/>
      <c r="F225" s="40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>
      <c r="A226" s="1" t="s">
        <v>39</v>
      </c>
      <c r="B226" s="28">
        <v>7</v>
      </c>
      <c r="C226" s="1">
        <v>849.4</v>
      </c>
      <c r="D226" s="5">
        <v>107654.64</v>
      </c>
      <c r="E226" s="5">
        <v>108665.49</v>
      </c>
      <c r="F226" s="40">
        <f>E226*100/D226</f>
        <v>100.9389748551479</v>
      </c>
      <c r="G226" s="5">
        <f>H226+O226</f>
        <v>74282.5</v>
      </c>
      <c r="H226" s="5">
        <f>50188.5</f>
        <v>50188.5</v>
      </c>
      <c r="I226" s="5">
        <f>SUM(J226:N226)</f>
        <v>50188.5</v>
      </c>
      <c r="J226" s="5">
        <v>6823.23</v>
      </c>
      <c r="K226" s="5">
        <v>856.8</v>
      </c>
      <c r="L226" s="5">
        <v>657.49</v>
      </c>
      <c r="M226" s="5">
        <v>41850.98</v>
      </c>
      <c r="N226" s="5"/>
      <c r="O226" s="5">
        <v>24094</v>
      </c>
      <c r="P226" s="5">
        <v>48565.29</v>
      </c>
      <c r="Q226" s="5">
        <v>11150.71</v>
      </c>
    </row>
    <row r="227" spans="1:17" ht="12.75">
      <c r="A227" s="1"/>
      <c r="B227" s="28"/>
      <c r="C227" s="1"/>
      <c r="D227" s="5"/>
      <c r="E227" s="5"/>
      <c r="F227" s="40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>
      <c r="A228" s="1" t="s">
        <v>39</v>
      </c>
      <c r="B228" s="28">
        <v>9</v>
      </c>
      <c r="C228" s="1">
        <v>556</v>
      </c>
      <c r="D228" s="5">
        <v>70056</v>
      </c>
      <c r="E228" s="5">
        <v>68889.76</v>
      </c>
      <c r="F228" s="40">
        <f>E228*100/D228</f>
        <v>98.3352746374329</v>
      </c>
      <c r="G228" s="5">
        <f>H228+O228</f>
        <v>62636.92</v>
      </c>
      <c r="H228" s="5">
        <f>46957.92</f>
        <v>46957.92</v>
      </c>
      <c r="I228" s="5">
        <f>SUM(J228:N228)</f>
        <v>46957.92</v>
      </c>
      <c r="J228" s="5">
        <v>4440.22</v>
      </c>
      <c r="K228" s="5">
        <v>812</v>
      </c>
      <c r="L228" s="5">
        <v>424.24</v>
      </c>
      <c r="M228" s="5">
        <v>41281.46</v>
      </c>
      <c r="N228" s="5"/>
      <c r="O228" s="5">
        <v>15679</v>
      </c>
      <c r="P228" s="5">
        <v>28086.85</v>
      </c>
      <c r="Q228" s="5">
        <v>5160.01</v>
      </c>
    </row>
    <row r="229" spans="1:17" ht="12.75">
      <c r="A229" s="1"/>
      <c r="B229" s="28"/>
      <c r="C229" s="1"/>
      <c r="D229" s="5"/>
      <c r="E229" s="5"/>
      <c r="F229" s="40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>
      <c r="A230" s="1" t="s">
        <v>40</v>
      </c>
      <c r="B230" s="28" t="s">
        <v>26</v>
      </c>
      <c r="C230" s="1">
        <v>933.7</v>
      </c>
      <c r="D230" s="5">
        <v>116151.24</v>
      </c>
      <c r="E230" s="5">
        <v>119216.61</v>
      </c>
      <c r="F230" s="40">
        <f>E230*100/D230</f>
        <v>102.63911947905162</v>
      </c>
      <c r="G230" s="5">
        <f>H230+O230</f>
        <v>91837.59</v>
      </c>
      <c r="H230" s="18">
        <v>65509.59</v>
      </c>
      <c r="I230" s="5">
        <f>SUM(J230:N230)</f>
        <v>65509.590000000004</v>
      </c>
      <c r="J230" s="5">
        <v>7390.49</v>
      </c>
      <c r="K230" s="5">
        <v>928.2</v>
      </c>
      <c r="L230" s="5">
        <v>752</v>
      </c>
      <c r="M230" s="5">
        <v>53864.9</v>
      </c>
      <c r="N230" s="5">
        <v>2574</v>
      </c>
      <c r="O230" s="5">
        <v>26328</v>
      </c>
      <c r="P230" s="5">
        <v>28762.27</v>
      </c>
      <c r="Q230" s="5">
        <v>2690.36</v>
      </c>
    </row>
    <row r="231" spans="1:17" ht="12.75">
      <c r="A231" s="1"/>
      <c r="B231" s="28"/>
      <c r="C231" s="1"/>
      <c r="D231" s="5"/>
      <c r="E231" s="5"/>
      <c r="F231" s="40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>
      <c r="A232" s="1" t="s">
        <v>40</v>
      </c>
      <c r="B232" s="28" t="s">
        <v>27</v>
      </c>
      <c r="C232" s="1">
        <v>616.1</v>
      </c>
      <c r="D232" s="5">
        <v>77628.6</v>
      </c>
      <c r="E232" s="5">
        <v>73077.38</v>
      </c>
      <c r="F232" s="40">
        <f>E232*100/D232</f>
        <v>94.13718655237888</v>
      </c>
      <c r="G232" s="5">
        <f>H232+O232</f>
        <v>36403.18</v>
      </c>
      <c r="H232" s="5">
        <f>19029.18</f>
        <v>19029.18</v>
      </c>
      <c r="I232" s="5">
        <f>SUM(J232:N232)</f>
        <v>19029.18</v>
      </c>
      <c r="J232" s="5">
        <v>4903.54</v>
      </c>
      <c r="K232" s="5">
        <v>639.8</v>
      </c>
      <c r="L232" s="5">
        <v>477.49</v>
      </c>
      <c r="M232" s="5">
        <v>10434.35</v>
      </c>
      <c r="N232" s="5">
        <v>2574</v>
      </c>
      <c r="O232" s="5">
        <v>17374</v>
      </c>
      <c r="P232" s="5">
        <v>38600.52</v>
      </c>
      <c r="Q232" s="5">
        <v>18596.01</v>
      </c>
    </row>
    <row r="233" spans="1:17" ht="12.75">
      <c r="A233" s="1"/>
      <c r="B233" s="28"/>
      <c r="C233" s="1"/>
      <c r="D233" s="5"/>
      <c r="E233" s="5"/>
      <c r="F233" s="40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>
      <c r="A234" s="1" t="s">
        <v>40</v>
      </c>
      <c r="B234" s="28" t="s">
        <v>65</v>
      </c>
      <c r="C234" s="1">
        <v>614.8</v>
      </c>
      <c r="D234" s="5">
        <v>90369.78</v>
      </c>
      <c r="E234" s="5">
        <v>85154.39</v>
      </c>
      <c r="F234" s="40">
        <f>E234*100/D234</f>
        <v>94.22883401951405</v>
      </c>
      <c r="G234" s="5">
        <f>H234+O234</f>
        <v>57184.33</v>
      </c>
      <c r="H234" s="5">
        <f>39847.33</f>
        <v>39847.33</v>
      </c>
      <c r="I234" s="5">
        <f>SUM(J234:N234)</f>
        <v>39847.33</v>
      </c>
      <c r="J234" s="5">
        <v>5787.79</v>
      </c>
      <c r="K234" s="5">
        <v>637</v>
      </c>
      <c r="L234" s="5">
        <v>446.13</v>
      </c>
      <c r="M234" s="5">
        <v>30636.41</v>
      </c>
      <c r="N234" s="5">
        <v>2340</v>
      </c>
      <c r="O234" s="5">
        <v>17337</v>
      </c>
      <c r="P234" s="5">
        <v>32519.26</v>
      </c>
      <c r="Q234" s="5">
        <v>6928.36</v>
      </c>
    </row>
    <row r="235" spans="1:17" ht="12.75">
      <c r="A235" s="1"/>
      <c r="B235" s="28"/>
      <c r="C235" s="1"/>
      <c r="D235" s="5"/>
      <c r="E235" s="5"/>
      <c r="F235" s="40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>
      <c r="A236" s="1" t="s">
        <v>40</v>
      </c>
      <c r="B236" s="28" t="s">
        <v>28</v>
      </c>
      <c r="C236" s="1">
        <v>631.7</v>
      </c>
      <c r="D236" s="5">
        <v>77723.4</v>
      </c>
      <c r="E236" s="5">
        <v>84753.14</v>
      </c>
      <c r="F236" s="40">
        <f>E236*100/D236</f>
        <v>109.0445605827846</v>
      </c>
      <c r="G236" s="5">
        <f>H236+O236</f>
        <v>98203.04</v>
      </c>
      <c r="H236" s="5">
        <f>80389.04</f>
        <v>80389.04</v>
      </c>
      <c r="I236" s="5">
        <f>SUM(J236:N236)</f>
        <v>80389.04</v>
      </c>
      <c r="J236" s="5">
        <v>5048.39</v>
      </c>
      <c r="K236" s="5">
        <v>651</v>
      </c>
      <c r="L236" s="5">
        <v>511.25</v>
      </c>
      <c r="M236" s="5">
        <v>72306.4</v>
      </c>
      <c r="N236" s="5">
        <v>1872</v>
      </c>
      <c r="O236" s="5">
        <v>17814</v>
      </c>
      <c r="P236" s="5">
        <v>45470.86</v>
      </c>
      <c r="Q236" s="5">
        <v>17375.72</v>
      </c>
    </row>
    <row r="237" spans="1:17" ht="12.75">
      <c r="A237" s="14"/>
      <c r="B237" s="32"/>
      <c r="C237" s="14"/>
      <c r="D237" s="18"/>
      <c r="E237" s="18"/>
      <c r="F237" s="74"/>
      <c r="G237" s="5"/>
      <c r="H237" s="18"/>
      <c r="I237" s="5"/>
      <c r="J237" s="18"/>
      <c r="K237" s="18"/>
      <c r="L237" s="18"/>
      <c r="M237" s="18"/>
      <c r="N237" s="18"/>
      <c r="O237" s="18"/>
      <c r="P237" s="18"/>
      <c r="Q237" s="18"/>
    </row>
    <row r="238" spans="1:17" ht="12.75">
      <c r="A238" s="1" t="s">
        <v>40</v>
      </c>
      <c r="B238" s="28">
        <v>36</v>
      </c>
      <c r="C238" s="93">
        <v>96</v>
      </c>
      <c r="D238" s="5">
        <v>2083.2</v>
      </c>
      <c r="E238" s="5">
        <v>2362.92</v>
      </c>
      <c r="F238" s="40">
        <f>E238*100/D238</f>
        <v>113.42741935483872</v>
      </c>
      <c r="G238" s="5">
        <f>H238+O238</f>
        <v>1995.4466666666667</v>
      </c>
      <c r="H238" s="5">
        <f>833.78</f>
        <v>833.78</v>
      </c>
      <c r="I238" s="5">
        <f>SUM(J238:N238)</f>
        <v>833.78</v>
      </c>
      <c r="J238" s="5">
        <v>716.92</v>
      </c>
      <c r="K238" s="5"/>
      <c r="L238" s="5">
        <v>116.86</v>
      </c>
      <c r="M238" s="5"/>
      <c r="N238" s="5"/>
      <c r="O238" s="5">
        <f>1394/12*10</f>
        <v>1161.6666666666667</v>
      </c>
      <c r="P238" s="5">
        <v>0</v>
      </c>
      <c r="Q238" s="5">
        <v>0</v>
      </c>
    </row>
    <row r="239" spans="1:17" ht="12.75">
      <c r="A239" s="1"/>
      <c r="B239" s="28"/>
      <c r="C239" s="1"/>
      <c r="D239" s="5"/>
      <c r="E239" s="5"/>
      <c r="F239" s="40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>
      <c r="A240" s="1" t="s">
        <v>40</v>
      </c>
      <c r="B240" s="28">
        <v>38</v>
      </c>
      <c r="C240" s="1">
        <v>123.4</v>
      </c>
      <c r="D240" s="5">
        <v>3307.2</v>
      </c>
      <c r="E240" s="5">
        <v>3042.47</v>
      </c>
      <c r="F240" s="40">
        <f>E240*100/D240</f>
        <v>91.995343492985</v>
      </c>
      <c r="G240" s="5">
        <f>H240+O240</f>
        <v>3042.96</v>
      </c>
      <c r="H240" s="5">
        <f>1250.96</f>
        <v>1250.96</v>
      </c>
      <c r="I240" s="5">
        <f>SUM(J240:N240)</f>
        <v>1250.96</v>
      </c>
      <c r="J240" s="5">
        <v>1056.64</v>
      </c>
      <c r="K240" s="5"/>
      <c r="L240" s="5">
        <v>129.32</v>
      </c>
      <c r="M240" s="5">
        <v>65</v>
      </c>
      <c r="N240" s="5"/>
      <c r="O240" s="5">
        <v>1792</v>
      </c>
      <c r="P240" s="5">
        <v>401.28</v>
      </c>
      <c r="Q240" s="5">
        <v>176.23</v>
      </c>
    </row>
    <row r="241" spans="1:17" ht="12.75">
      <c r="A241" s="1"/>
      <c r="B241" s="28"/>
      <c r="C241" s="1"/>
      <c r="D241" s="5"/>
      <c r="E241" s="5"/>
      <c r="F241" s="40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>
      <c r="A242" s="1" t="s">
        <v>39</v>
      </c>
      <c r="B242" s="28">
        <v>2</v>
      </c>
      <c r="C242" s="1">
        <v>62.9</v>
      </c>
      <c r="D242" s="5">
        <v>5374.2</v>
      </c>
      <c r="E242" s="5">
        <v>0</v>
      </c>
      <c r="F242" s="40">
        <f>E242*100/D242</f>
        <v>0</v>
      </c>
      <c r="G242" s="5">
        <f>H242+O242</f>
        <v>2438.26</v>
      </c>
      <c r="H242" s="5">
        <f>1381.26</f>
        <v>1381.26</v>
      </c>
      <c r="I242" s="5">
        <f>SUM(J242:N242)</f>
        <v>1381.26</v>
      </c>
      <c r="J242" s="5">
        <v>519.54</v>
      </c>
      <c r="K242" s="5"/>
      <c r="L242" s="5"/>
      <c r="M242" s="5">
        <v>861.72</v>
      </c>
      <c r="N242" s="5"/>
      <c r="O242" s="5">
        <f>1057</f>
        <v>1057</v>
      </c>
      <c r="P242" s="5"/>
      <c r="Q242" s="5"/>
    </row>
    <row r="243" spans="1:17" ht="12.75">
      <c r="A243" s="1"/>
      <c r="B243" s="28"/>
      <c r="C243" s="1"/>
      <c r="D243" s="5"/>
      <c r="E243" s="5"/>
      <c r="F243" s="40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>
      <c r="A244" s="1" t="s">
        <v>39</v>
      </c>
      <c r="B244" s="28" t="s">
        <v>29</v>
      </c>
      <c r="C244" s="1">
        <v>62.4</v>
      </c>
      <c r="D244" s="5">
        <v>5331.48</v>
      </c>
      <c r="E244" s="5"/>
      <c r="F244" s="40">
        <f>E244*100/D244</f>
        <v>0</v>
      </c>
      <c r="G244" s="5">
        <f>H244+O244</f>
        <v>1364.82</v>
      </c>
      <c r="H244" s="5">
        <f>316.82</f>
        <v>316.82</v>
      </c>
      <c r="I244" s="5">
        <f>SUM(J244:N244)</f>
        <v>316.81</v>
      </c>
      <c r="J244" s="5"/>
      <c r="K244" s="5"/>
      <c r="L244" s="5"/>
      <c r="M244" s="5">
        <v>316.81</v>
      </c>
      <c r="N244" s="5"/>
      <c r="O244" s="5">
        <v>1048</v>
      </c>
      <c r="P244" s="5">
        <v>87380.37</v>
      </c>
      <c r="Q244" s="5">
        <v>54296.72</v>
      </c>
    </row>
    <row r="245" spans="1:17" ht="12.75">
      <c r="A245" s="1"/>
      <c r="B245" s="28"/>
      <c r="C245" s="1"/>
      <c r="D245" s="5"/>
      <c r="E245" s="5"/>
      <c r="F245" s="40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>
      <c r="A246" s="1" t="s">
        <v>41</v>
      </c>
      <c r="B246" s="28" t="s">
        <v>42</v>
      </c>
      <c r="C246" s="1">
        <v>713.9</v>
      </c>
      <c r="D246" s="5">
        <f>26985.54+21125.6</f>
        <v>48111.14</v>
      </c>
      <c r="E246" s="5">
        <f>22117.62+22377.31</f>
        <v>44494.93</v>
      </c>
      <c r="F246" s="40">
        <f>E246*100/D246</f>
        <v>92.48363268881178</v>
      </c>
      <c r="G246" s="5">
        <f>H246+O246</f>
        <v>42383.05</v>
      </c>
      <c r="H246" s="5">
        <f>30389.05</f>
        <v>30389.05</v>
      </c>
      <c r="I246" s="5">
        <f>SUM(J246:N246)</f>
        <v>30389.05</v>
      </c>
      <c r="J246" s="5">
        <v>5896.84</v>
      </c>
      <c r="K246" s="5"/>
      <c r="L246" s="5"/>
      <c r="M246" s="5">
        <f>17395.53+7096.68</f>
        <v>24492.21</v>
      </c>
      <c r="N246" s="5"/>
      <c r="O246" s="5">
        <f>11994</f>
        <v>11994</v>
      </c>
      <c r="P246" s="5">
        <f>228030.31+72568.37</f>
        <v>300598.68</v>
      </c>
      <c r="Q246" s="5">
        <f>203264.65+59510.48</f>
        <v>262775.13</v>
      </c>
    </row>
    <row r="247" spans="1:17" ht="12.75">
      <c r="A247" s="1"/>
      <c r="B247" s="28"/>
      <c r="C247" s="1"/>
      <c r="D247" s="5"/>
      <c r="E247" s="5"/>
      <c r="F247" s="40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>
      <c r="A248" s="1" t="s">
        <v>41</v>
      </c>
      <c r="B248" s="28">
        <v>14</v>
      </c>
      <c r="C248" s="93">
        <v>287</v>
      </c>
      <c r="D248" s="5">
        <v>26616.38</v>
      </c>
      <c r="E248" s="5">
        <v>30010.89</v>
      </c>
      <c r="F248" s="40">
        <f>E248*100/D248</f>
        <v>112.75346234161069</v>
      </c>
      <c r="G248" s="5">
        <f>H248+O248</f>
        <v>28734.120000000003</v>
      </c>
      <c r="H248" s="5">
        <f>11433.37+11231</f>
        <v>22664.370000000003</v>
      </c>
      <c r="I248" s="5">
        <f>SUM(J248:N248)</f>
        <v>22664.370000000003</v>
      </c>
      <c r="J248" s="5">
        <v>1986.04</v>
      </c>
      <c r="K248" s="5"/>
      <c r="L248" s="5">
        <v>421.71</v>
      </c>
      <c r="M248" s="5">
        <f>8742.12+283.5+11231</f>
        <v>20256.620000000003</v>
      </c>
      <c r="N248" s="5"/>
      <c r="O248" s="5">
        <f>8093/12*9</f>
        <v>6069.75</v>
      </c>
      <c r="P248" s="5">
        <v>0</v>
      </c>
      <c r="Q248" s="5">
        <v>0</v>
      </c>
    </row>
    <row r="249" spans="1:17" ht="12.75">
      <c r="A249" s="1"/>
      <c r="B249" s="28"/>
      <c r="C249" s="1"/>
      <c r="D249" s="5"/>
      <c r="E249" s="5"/>
      <c r="F249" s="40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>
      <c r="A250" s="1" t="s">
        <v>41</v>
      </c>
      <c r="B250" s="28">
        <v>3</v>
      </c>
      <c r="C250" s="94">
        <v>73.51</v>
      </c>
      <c r="D250" s="5">
        <v>623.36</v>
      </c>
      <c r="E250" s="5">
        <v>1132.82</v>
      </c>
      <c r="F250" s="40">
        <f>E250*100/D250</f>
        <v>181.7280544147844</v>
      </c>
      <c r="G250" s="5">
        <f>H250+O250</f>
        <v>893.36</v>
      </c>
      <c r="H250" s="5">
        <f>626.61</f>
        <v>626.61</v>
      </c>
      <c r="I250" s="5">
        <f>SUM(J250:N250)</f>
        <v>626.61</v>
      </c>
      <c r="J250" s="5"/>
      <c r="K250" s="5"/>
      <c r="L250" s="5"/>
      <c r="M250" s="5">
        <v>626.61</v>
      </c>
      <c r="N250" s="5"/>
      <c r="O250" s="5">
        <f>1067/12*3</f>
        <v>266.75</v>
      </c>
      <c r="P250" s="5">
        <v>0</v>
      </c>
      <c r="Q250" s="5">
        <v>0</v>
      </c>
    </row>
    <row r="251" spans="1:17" ht="12.75">
      <c r="A251" s="1"/>
      <c r="B251" s="28"/>
      <c r="C251" s="1"/>
      <c r="D251" s="5"/>
      <c r="E251" s="5"/>
      <c r="F251" s="40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>
      <c r="A252" s="1" t="s">
        <v>41</v>
      </c>
      <c r="B252" s="28">
        <v>4</v>
      </c>
      <c r="C252" s="93">
        <v>97.8</v>
      </c>
      <c r="D252" s="5">
        <v>1036.7</v>
      </c>
      <c r="E252" s="5">
        <v>1822.77</v>
      </c>
      <c r="F252" s="40">
        <f>E252*100/D252</f>
        <v>175.82425002411497</v>
      </c>
      <c r="G252" s="5">
        <f>H252+O252</f>
        <v>1784.48</v>
      </c>
      <c r="H252" s="5">
        <f>1429.48</f>
        <v>1429.48</v>
      </c>
      <c r="I252" s="5">
        <f>SUM(J252:N252)</f>
        <v>1429.46</v>
      </c>
      <c r="J252" s="5"/>
      <c r="K252" s="5"/>
      <c r="L252" s="5"/>
      <c r="M252" s="5">
        <v>1429.46</v>
      </c>
      <c r="N252" s="5"/>
      <c r="O252" s="5">
        <f>1420/12*3</f>
        <v>355</v>
      </c>
      <c r="P252" s="5">
        <v>0</v>
      </c>
      <c r="Q252" s="5">
        <v>0</v>
      </c>
    </row>
    <row r="253" spans="1:17" ht="12.75">
      <c r="A253" s="1"/>
      <c r="B253" s="28"/>
      <c r="C253" s="1"/>
      <c r="D253" s="5"/>
      <c r="E253" s="5"/>
      <c r="F253" s="40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>
      <c r="A254" s="1" t="s">
        <v>41</v>
      </c>
      <c r="B254" s="28">
        <v>5</v>
      </c>
      <c r="C254" s="93">
        <v>118</v>
      </c>
      <c r="D254" s="5">
        <v>1291.1</v>
      </c>
      <c r="E254" s="5">
        <v>6579.46</v>
      </c>
      <c r="F254" s="40">
        <f>E254*100/D254</f>
        <v>509.6011153280149</v>
      </c>
      <c r="G254" s="5">
        <f>H254+O254</f>
        <v>2120.98</v>
      </c>
      <c r="H254" s="5">
        <f>1692.73</f>
        <v>1692.73</v>
      </c>
      <c r="I254" s="5">
        <f>SUM(J254:N254)</f>
        <v>1692.73</v>
      </c>
      <c r="J254" s="5"/>
      <c r="K254" s="5"/>
      <c r="L254" s="5"/>
      <c r="M254" s="5">
        <v>1692.73</v>
      </c>
      <c r="N254" s="5"/>
      <c r="O254" s="5">
        <f>1713/12*3</f>
        <v>428.25</v>
      </c>
      <c r="P254" s="5">
        <v>0</v>
      </c>
      <c r="Q254" s="5">
        <v>0</v>
      </c>
    </row>
    <row r="255" spans="1:17" ht="12.75">
      <c r="A255" s="1"/>
      <c r="B255" s="28"/>
      <c r="C255" s="1"/>
      <c r="D255" s="5"/>
      <c r="E255" s="5"/>
      <c r="F255" s="40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>
      <c r="A256" s="1" t="s">
        <v>41</v>
      </c>
      <c r="B256" s="28">
        <v>8</v>
      </c>
      <c r="C256" s="1">
        <v>137</v>
      </c>
      <c r="D256" s="5">
        <v>1721.3</v>
      </c>
      <c r="E256" s="5">
        <v>2190.55</v>
      </c>
      <c r="F256" s="40">
        <f>E256*100/D256</f>
        <v>127.26137221867195</v>
      </c>
      <c r="G256" s="5">
        <f>H256+O256</f>
        <v>2685.21</v>
      </c>
      <c r="H256" s="5">
        <v>520.21</v>
      </c>
      <c r="I256" s="5">
        <f>SUM(J256:N256)</f>
        <v>520.21</v>
      </c>
      <c r="J256" s="5"/>
      <c r="K256" s="5"/>
      <c r="L256" s="5">
        <v>116.89</v>
      </c>
      <c r="M256" s="5">
        <v>403.32</v>
      </c>
      <c r="N256" s="5"/>
      <c r="O256" s="5">
        <v>2165</v>
      </c>
      <c r="P256" s="5">
        <v>854.5</v>
      </c>
      <c r="Q256" s="5">
        <v>502.95</v>
      </c>
    </row>
    <row r="257" spans="1:17" ht="12.75">
      <c r="A257" s="1"/>
      <c r="B257" s="28"/>
      <c r="C257" s="1"/>
      <c r="D257" s="5"/>
      <c r="E257" s="5"/>
      <c r="F257" s="40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>
      <c r="A258" s="1" t="s">
        <v>37</v>
      </c>
      <c r="B258" s="28">
        <v>21</v>
      </c>
      <c r="C258" s="1">
        <v>169.6</v>
      </c>
      <c r="D258" s="5">
        <v>4742.04</v>
      </c>
      <c r="E258" s="5">
        <v>5200.59</v>
      </c>
      <c r="F258" s="40">
        <f>E258*100/D258</f>
        <v>109.669888908571</v>
      </c>
      <c r="G258" s="5">
        <f>H258+O258</f>
        <v>3994.38</v>
      </c>
      <c r="H258" s="5">
        <f>1531.38</f>
        <v>1531.38</v>
      </c>
      <c r="I258" s="5">
        <f>SUM(J258:N258)</f>
        <v>1531.3799999999999</v>
      </c>
      <c r="J258" s="5">
        <v>1290.86</v>
      </c>
      <c r="K258" s="5"/>
      <c r="L258" s="5">
        <v>148.72</v>
      </c>
      <c r="M258" s="5">
        <v>91.8</v>
      </c>
      <c r="N258" s="5"/>
      <c r="O258" s="5">
        <v>2463</v>
      </c>
      <c r="P258" s="5">
        <v>0.07</v>
      </c>
      <c r="Q258" s="5">
        <v>0</v>
      </c>
    </row>
    <row r="259" spans="1:17" ht="12.75">
      <c r="A259" s="1"/>
      <c r="B259" s="28"/>
      <c r="C259" s="1"/>
      <c r="D259" s="5"/>
      <c r="E259" s="5"/>
      <c r="F259" s="40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>
      <c r="A260" s="1" t="s">
        <v>37</v>
      </c>
      <c r="B260" s="28">
        <v>27</v>
      </c>
      <c r="C260" s="93">
        <v>175.1</v>
      </c>
      <c r="D260" s="5">
        <v>387.19</v>
      </c>
      <c r="E260" s="5">
        <v>344.29</v>
      </c>
      <c r="F260" s="40">
        <f>E260*100/D260</f>
        <v>88.92016839277873</v>
      </c>
      <c r="G260" s="5">
        <f>H260+O260</f>
        <v>484.12333333333333</v>
      </c>
      <c r="H260" s="5">
        <f>271.29</f>
        <v>271.29</v>
      </c>
      <c r="I260" s="5">
        <f>SUM(J260:N260)</f>
        <v>271.28999999999996</v>
      </c>
      <c r="J260" s="5">
        <v>122.57</v>
      </c>
      <c r="K260" s="5"/>
      <c r="L260" s="5">
        <v>148.72</v>
      </c>
      <c r="M260" s="5"/>
      <c r="N260" s="5"/>
      <c r="O260" s="5">
        <f>2554/12*1</f>
        <v>212.83333333333334</v>
      </c>
      <c r="P260" s="5">
        <v>0</v>
      </c>
      <c r="Q260" s="5">
        <v>0</v>
      </c>
    </row>
    <row r="261" spans="1:17" ht="12.75">
      <c r="A261" s="1"/>
      <c r="B261" s="28"/>
      <c r="C261" s="1"/>
      <c r="D261" s="5"/>
      <c r="E261" s="5"/>
      <c r="F261" s="40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2.75">
      <c r="A262" s="1" t="s">
        <v>37</v>
      </c>
      <c r="B262" s="28">
        <v>28</v>
      </c>
      <c r="C262" s="1">
        <v>113.2</v>
      </c>
      <c r="D262" s="5">
        <v>2893.44</v>
      </c>
      <c r="E262" s="5">
        <v>6625.83</v>
      </c>
      <c r="F262" s="40">
        <f>E262*100/D262</f>
        <v>228.994898805574</v>
      </c>
      <c r="G262" s="5">
        <f>H262+O262</f>
        <v>8118.1</v>
      </c>
      <c r="H262" s="5">
        <f>6474.1</f>
        <v>6474.1</v>
      </c>
      <c r="I262" s="5">
        <f>SUM(J262:N262)</f>
        <v>6474.1</v>
      </c>
      <c r="J262" s="5">
        <v>861.58</v>
      </c>
      <c r="K262" s="5"/>
      <c r="L262" s="5">
        <v>116.89</v>
      </c>
      <c r="M262" s="5">
        <v>5495.63</v>
      </c>
      <c r="N262" s="5"/>
      <c r="O262" s="5">
        <v>1644</v>
      </c>
      <c r="P262" s="5">
        <v>1483.77</v>
      </c>
      <c r="Q262" s="5">
        <v>1256.5</v>
      </c>
    </row>
    <row r="263" spans="1:17" ht="12.75">
      <c r="A263" s="1"/>
      <c r="B263" s="28"/>
      <c r="C263" s="1"/>
      <c r="D263" s="5"/>
      <c r="E263" s="5"/>
      <c r="F263" s="40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2.75">
      <c r="A264" s="1" t="s">
        <v>37</v>
      </c>
      <c r="B264" s="28">
        <v>32</v>
      </c>
      <c r="C264" s="1">
        <v>61.5</v>
      </c>
      <c r="D264" s="5">
        <v>1641.6</v>
      </c>
      <c r="E264" s="5">
        <v>345.61</v>
      </c>
      <c r="F264" s="40">
        <f>E264*100/D264</f>
        <v>21.05324074074074</v>
      </c>
      <c r="G264" s="5">
        <f>H264+O264</f>
        <v>1502.65</v>
      </c>
      <c r="H264" s="5">
        <f>610.65</f>
        <v>610.65</v>
      </c>
      <c r="I264" s="5">
        <f>SUM(J264:N264)</f>
        <v>610.6500000000001</v>
      </c>
      <c r="J264" s="5">
        <v>467.75</v>
      </c>
      <c r="K264" s="5"/>
      <c r="L264" s="5">
        <v>106.94</v>
      </c>
      <c r="M264" s="5">
        <v>35.96</v>
      </c>
      <c r="N264" s="5"/>
      <c r="O264" s="5">
        <v>892</v>
      </c>
      <c r="P264" s="5">
        <v>7783.6</v>
      </c>
      <c r="Q264" s="5">
        <v>7614.9</v>
      </c>
    </row>
    <row r="265" spans="1:17" ht="12.75">
      <c r="A265" s="1"/>
      <c r="B265" s="28"/>
      <c r="C265" s="1"/>
      <c r="D265" s="5"/>
      <c r="E265" s="5"/>
      <c r="F265" s="40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2.75">
      <c r="A266" s="1" t="s">
        <v>37</v>
      </c>
      <c r="B266" s="28">
        <v>41</v>
      </c>
      <c r="C266" s="1">
        <v>1239.1</v>
      </c>
      <c r="D266" s="5">
        <v>156126.6</v>
      </c>
      <c r="E266" s="5">
        <v>147195.44</v>
      </c>
      <c r="F266" s="40">
        <f>E266*100/D266</f>
        <v>94.27953980935983</v>
      </c>
      <c r="G266" s="5">
        <f>H266+O266</f>
        <v>60621.26</v>
      </c>
      <c r="H266" s="5">
        <f>60621.26</f>
        <v>60621.26</v>
      </c>
      <c r="I266" s="5">
        <f>SUM(J266:N266)</f>
        <v>60621.26</v>
      </c>
      <c r="J266" s="5">
        <v>9430.83</v>
      </c>
      <c r="K266" s="5">
        <v>1236.2</v>
      </c>
      <c r="L266" s="5">
        <v>969.77</v>
      </c>
      <c r="M266" s="5">
        <v>48984.46</v>
      </c>
      <c r="N266" s="5"/>
      <c r="O266" s="5"/>
      <c r="P266" s="5"/>
      <c r="Q266" s="5"/>
    </row>
    <row r="267" spans="1:17" ht="12.75">
      <c r="A267" s="1"/>
      <c r="B267" s="28"/>
      <c r="C267" s="1"/>
      <c r="D267" s="5"/>
      <c r="E267" s="5"/>
      <c r="F267" s="40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2.75">
      <c r="A268" s="1" t="s">
        <v>43</v>
      </c>
      <c r="B268" s="28">
        <v>16</v>
      </c>
      <c r="C268" s="1">
        <v>217.3</v>
      </c>
      <c r="D268" s="5">
        <v>14576.4</v>
      </c>
      <c r="E268" s="5">
        <v>12728.83</v>
      </c>
      <c r="F268" s="40">
        <f>E268*100/D268</f>
        <v>87.32492247742927</v>
      </c>
      <c r="G268" s="5">
        <f>H268+O268</f>
        <v>25062.71</v>
      </c>
      <c r="H268" s="5">
        <f>21907.71</f>
        <v>21907.71</v>
      </c>
      <c r="I268" s="5">
        <f>SUM(J268:N268)</f>
        <v>21907.71</v>
      </c>
      <c r="J268" s="5">
        <v>1780.57</v>
      </c>
      <c r="K268" s="5"/>
      <c r="L268" s="5">
        <v>240.71</v>
      </c>
      <c r="M268" s="5">
        <v>19886.43</v>
      </c>
      <c r="N268" s="5"/>
      <c r="O268" s="5">
        <v>3155</v>
      </c>
      <c r="P268" s="5">
        <v>5772.56</v>
      </c>
      <c r="Q268" s="5">
        <v>4910.73</v>
      </c>
    </row>
    <row r="269" spans="1:17" ht="12.75">
      <c r="A269" s="1"/>
      <c r="B269" s="28"/>
      <c r="C269" s="1"/>
      <c r="D269" s="5"/>
      <c r="E269" s="5"/>
      <c r="F269" s="40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2.75">
      <c r="A270" s="1" t="s">
        <v>43</v>
      </c>
      <c r="B270" s="28">
        <v>18</v>
      </c>
      <c r="C270" s="1">
        <v>174.3</v>
      </c>
      <c r="D270" s="5">
        <v>11692.2</v>
      </c>
      <c r="E270" s="5">
        <v>11035.04</v>
      </c>
      <c r="F270" s="40">
        <f>E270*100/D270</f>
        <v>94.37950086382374</v>
      </c>
      <c r="G270" s="5">
        <f>H270+O270</f>
        <v>5429.58</v>
      </c>
      <c r="H270" s="5">
        <f>2898.58</f>
        <v>2898.58</v>
      </c>
      <c r="I270" s="5">
        <f>SUM(J270:N270)</f>
        <v>2898.58</v>
      </c>
      <c r="J270" s="5">
        <v>1428.22</v>
      </c>
      <c r="K270" s="5"/>
      <c r="L270" s="5">
        <v>238.22</v>
      </c>
      <c r="M270" s="5">
        <v>1232.14</v>
      </c>
      <c r="N270" s="5"/>
      <c r="O270" s="5">
        <v>2531</v>
      </c>
      <c r="P270" s="5">
        <v>1542.1</v>
      </c>
      <c r="Q270" s="5">
        <v>502.84</v>
      </c>
    </row>
    <row r="271" spans="1:17" ht="12.75">
      <c r="A271" s="1"/>
      <c r="B271" s="28"/>
      <c r="C271" s="1"/>
      <c r="D271" s="5"/>
      <c r="E271" s="5"/>
      <c r="F271" s="40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2.75">
      <c r="A272" s="15" t="s">
        <v>43</v>
      </c>
      <c r="B272" s="36">
        <v>5</v>
      </c>
      <c r="C272" s="93">
        <v>196.2</v>
      </c>
      <c r="D272" s="5">
        <v>12966.6</v>
      </c>
      <c r="E272" s="5">
        <v>12921.33</v>
      </c>
      <c r="F272" s="40">
        <f>E272*100/D272</f>
        <v>99.65087224098838</v>
      </c>
      <c r="G272" s="5">
        <f>H272+O272</f>
        <v>5864.91</v>
      </c>
      <c r="H272" s="5">
        <f>2561.9+496.01</f>
        <v>3057.91</v>
      </c>
      <c r="I272" s="5">
        <f>SUM(J272:N272)</f>
        <v>3057.9</v>
      </c>
      <c r="J272" s="5">
        <v>1583.91</v>
      </c>
      <c r="K272" s="5"/>
      <c r="L272" s="5">
        <v>153.7</v>
      </c>
      <c r="M272" s="5">
        <f>824.29+496</f>
        <v>1320.29</v>
      </c>
      <c r="N272" s="5"/>
      <c r="O272" s="5">
        <v>2807</v>
      </c>
      <c r="P272" s="5">
        <v>0</v>
      </c>
      <c r="Q272" s="5">
        <v>0</v>
      </c>
    </row>
    <row r="273" spans="1:17" ht="12.75">
      <c r="A273" s="1"/>
      <c r="B273" s="28"/>
      <c r="C273" s="1"/>
      <c r="D273" s="5"/>
      <c r="E273" s="5"/>
      <c r="F273" s="40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2.75">
      <c r="A274" s="1" t="s">
        <v>44</v>
      </c>
      <c r="B274" s="28">
        <v>2</v>
      </c>
      <c r="C274" s="1">
        <v>152.5</v>
      </c>
      <c r="D274" s="5">
        <v>10229.64</v>
      </c>
      <c r="E274" s="5">
        <v>10045.82</v>
      </c>
      <c r="F274" s="40">
        <f>E274*100/D274</f>
        <v>98.20306481948535</v>
      </c>
      <c r="G274" s="5">
        <f>H274+O274</f>
        <v>5786.45</v>
      </c>
      <c r="H274" s="5">
        <f>3494.95+77.5</f>
        <v>3572.45</v>
      </c>
      <c r="I274" s="5">
        <f>SUM(J274:N274)</f>
        <v>3572.45</v>
      </c>
      <c r="J274" s="5">
        <v>1239.52</v>
      </c>
      <c r="K274" s="5"/>
      <c r="L274" s="5">
        <v>171.1</v>
      </c>
      <c r="M274" s="5">
        <f>1766.43+395.4</f>
        <v>2161.83</v>
      </c>
      <c r="N274" s="5"/>
      <c r="O274" s="5">
        <v>2214</v>
      </c>
      <c r="P274" s="5">
        <v>1466.62</v>
      </c>
      <c r="Q274" s="5">
        <v>0.02</v>
      </c>
    </row>
    <row r="275" spans="1:17" ht="12.75">
      <c r="A275" s="1"/>
      <c r="B275" s="28"/>
      <c r="C275" s="1"/>
      <c r="D275" s="5"/>
      <c r="E275" s="5"/>
      <c r="F275" s="40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2.75">
      <c r="A276" s="1" t="s">
        <v>44</v>
      </c>
      <c r="B276" s="28">
        <v>4</v>
      </c>
      <c r="C276" s="93">
        <v>104.3</v>
      </c>
      <c r="D276" s="5">
        <v>2186.85</v>
      </c>
      <c r="E276" s="5">
        <v>2601.08</v>
      </c>
      <c r="F276" s="40">
        <f>E276*100/D276</f>
        <v>118.9418570089398</v>
      </c>
      <c r="G276" s="5">
        <f>H276+O276</f>
        <v>1469.96</v>
      </c>
      <c r="H276" s="5">
        <f>1091.21</f>
        <v>1091.21</v>
      </c>
      <c r="I276" s="5">
        <f>SUM(J276:N276)</f>
        <v>1091.21</v>
      </c>
      <c r="J276" s="5">
        <v>205.62</v>
      </c>
      <c r="K276" s="5"/>
      <c r="L276" s="5"/>
      <c r="M276" s="5">
        <v>885.59</v>
      </c>
      <c r="N276" s="5"/>
      <c r="O276" s="5">
        <f>1515/12*3</f>
        <v>378.75</v>
      </c>
      <c r="P276" s="5">
        <v>0</v>
      </c>
      <c r="Q276" s="5">
        <v>0</v>
      </c>
    </row>
    <row r="277" spans="1:17" ht="12.75">
      <c r="A277" s="1"/>
      <c r="B277" s="28"/>
      <c r="C277" s="1"/>
      <c r="D277" s="5"/>
      <c r="E277" s="5"/>
      <c r="F277" s="40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2.75">
      <c r="A278" s="1" t="s">
        <v>36</v>
      </c>
      <c r="B278" s="28">
        <v>2</v>
      </c>
      <c r="C278" s="1">
        <v>915.7</v>
      </c>
      <c r="D278" s="5">
        <v>115189.25</v>
      </c>
      <c r="E278" s="5">
        <v>113058.65</v>
      </c>
      <c r="F278" s="40">
        <f>E278*100/D278</f>
        <v>98.15034823128026</v>
      </c>
      <c r="G278" s="5">
        <f>H278+O278</f>
        <v>76851.29000000001</v>
      </c>
      <c r="H278" s="5">
        <f>51028.29</f>
        <v>51028.29</v>
      </c>
      <c r="I278" s="5">
        <f>SUM(J278:N278)</f>
        <v>51028.29</v>
      </c>
      <c r="J278" s="5">
        <v>7309.94</v>
      </c>
      <c r="K278" s="5">
        <v>1008</v>
      </c>
      <c r="L278" s="5">
        <v>1027.56</v>
      </c>
      <c r="M278" s="5">
        <f>38640.79</f>
        <v>38640.79</v>
      </c>
      <c r="N278" s="5">
        <v>3042</v>
      </c>
      <c r="O278" s="5">
        <v>25823</v>
      </c>
      <c r="P278" s="5">
        <v>44050.7</v>
      </c>
      <c r="Q278" s="5">
        <v>10008.66</v>
      </c>
    </row>
    <row r="279" spans="1:17" ht="12.75">
      <c r="A279" s="1"/>
      <c r="B279" s="28"/>
      <c r="C279" s="1"/>
      <c r="D279" s="5"/>
      <c r="E279" s="5"/>
      <c r="F279" s="40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2.75">
      <c r="A280" s="1" t="s">
        <v>36</v>
      </c>
      <c r="B280" s="28">
        <v>13</v>
      </c>
      <c r="C280" s="1">
        <v>109</v>
      </c>
      <c r="D280" s="5">
        <v>9312.96</v>
      </c>
      <c r="E280" s="5">
        <v>7316.24</v>
      </c>
      <c r="F280" s="40">
        <f>E280*100/D280</f>
        <v>78.55977047039825</v>
      </c>
      <c r="G280" s="5">
        <f>H280+O280</f>
        <v>3442.29</v>
      </c>
      <c r="H280" s="5">
        <f>1611.29</f>
        <v>1611.29</v>
      </c>
      <c r="I280" s="5">
        <f>SUM(J280:N280)</f>
        <v>1610.7199999999998</v>
      </c>
      <c r="J280" s="5">
        <v>871</v>
      </c>
      <c r="K280" s="5"/>
      <c r="L280" s="5">
        <v>129.32</v>
      </c>
      <c r="M280" s="5">
        <v>610.4</v>
      </c>
      <c r="N280" s="5"/>
      <c r="O280" s="5">
        <v>1831</v>
      </c>
      <c r="P280" s="5">
        <v>3311.34</v>
      </c>
      <c r="Q280" s="5">
        <v>2594.45</v>
      </c>
    </row>
    <row r="281" spans="1:17" ht="12.75">
      <c r="A281" s="1"/>
      <c r="B281" s="28"/>
      <c r="C281" s="1"/>
      <c r="D281" s="5"/>
      <c r="E281" s="5"/>
      <c r="F281" s="40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2.75">
      <c r="A282" s="1" t="s">
        <v>36</v>
      </c>
      <c r="B282" s="28">
        <v>7</v>
      </c>
      <c r="C282" s="1">
        <v>99.5</v>
      </c>
      <c r="D282" s="5">
        <v>8501.28</v>
      </c>
      <c r="E282" s="5">
        <v>5096.97</v>
      </c>
      <c r="F282" s="40">
        <f>E282*100/D282</f>
        <v>59.9553243746824</v>
      </c>
      <c r="G282" s="5">
        <f>H282+O282</f>
        <v>3179.49</v>
      </c>
      <c r="H282" s="5">
        <f>1507.49</f>
        <v>1507.49</v>
      </c>
      <c r="I282" s="5">
        <f>SUM(J282:N282)</f>
        <v>1507.49</v>
      </c>
      <c r="J282" s="5">
        <v>795.6</v>
      </c>
      <c r="K282" s="5"/>
      <c r="L282" s="5">
        <v>116.89</v>
      </c>
      <c r="M282" s="5">
        <v>595</v>
      </c>
      <c r="N282" s="5"/>
      <c r="O282" s="5">
        <v>1672</v>
      </c>
      <c r="P282" s="5">
        <v>5010.96</v>
      </c>
      <c r="Q282" s="5">
        <v>3588.38</v>
      </c>
    </row>
    <row r="283" spans="1:17" ht="12.75">
      <c r="A283" s="1"/>
      <c r="B283" s="28"/>
      <c r="C283" s="1"/>
      <c r="D283" s="5"/>
      <c r="E283" s="5"/>
      <c r="F283" s="40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2.75">
      <c r="A284" s="1" t="s">
        <v>31</v>
      </c>
      <c r="B284" s="28">
        <v>11</v>
      </c>
      <c r="C284" s="1">
        <v>272.3</v>
      </c>
      <c r="D284" s="5">
        <v>19572.97</v>
      </c>
      <c r="E284" s="5">
        <v>20146.68</v>
      </c>
      <c r="F284" s="40">
        <f>E284*100/D284</f>
        <v>102.93113410994856</v>
      </c>
      <c r="G284" s="5">
        <f>H284+O284</f>
        <v>39037.259999999995</v>
      </c>
      <c r="H284" s="5">
        <v>31358.26</v>
      </c>
      <c r="I284" s="5">
        <f>SUM(J284:N284)</f>
        <v>31358.26</v>
      </c>
      <c r="J284" s="5">
        <v>2260.1</v>
      </c>
      <c r="K284" s="5"/>
      <c r="L284" s="5">
        <v>277.52</v>
      </c>
      <c r="M284" s="5">
        <v>28820.64</v>
      </c>
      <c r="N284" s="5"/>
      <c r="O284" s="5">
        <v>7679</v>
      </c>
      <c r="P284" s="5">
        <v>21.27</v>
      </c>
      <c r="Q284" s="5">
        <v>0</v>
      </c>
    </row>
    <row r="285" spans="1:17" ht="12.75">
      <c r="A285" s="1"/>
      <c r="B285" s="28"/>
      <c r="C285" s="1"/>
      <c r="D285" s="5"/>
      <c r="E285" s="5"/>
      <c r="F285" s="40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2.75">
      <c r="A286" s="1" t="s">
        <v>31</v>
      </c>
      <c r="B286" s="28">
        <v>13</v>
      </c>
      <c r="C286" s="93">
        <v>260.7</v>
      </c>
      <c r="D286" s="5">
        <v>19461.36</v>
      </c>
      <c r="E286" s="5">
        <v>18665.13</v>
      </c>
      <c r="F286" s="40">
        <f>E286*100/D286</f>
        <v>95.90866208733614</v>
      </c>
      <c r="G286" s="5">
        <f>H286+O286</f>
        <v>10261.220000000001</v>
      </c>
      <c r="H286" s="5">
        <v>5735.22</v>
      </c>
      <c r="I286" s="5">
        <f>SUM(J286:N286)</f>
        <v>5735.22</v>
      </c>
      <c r="J286" s="5">
        <v>2236.01</v>
      </c>
      <c r="K286" s="5"/>
      <c r="L286" s="5">
        <v>190.51</v>
      </c>
      <c r="M286" s="5">
        <v>3308.7</v>
      </c>
      <c r="N286" s="5"/>
      <c r="O286" s="5">
        <f>4526</f>
        <v>4526</v>
      </c>
      <c r="P286" s="5">
        <v>2090.74</v>
      </c>
      <c r="Q286" s="5">
        <v>467.09</v>
      </c>
    </row>
    <row r="287" spans="1:17" ht="12.75">
      <c r="A287" s="1"/>
      <c r="B287" s="28"/>
      <c r="C287" s="1"/>
      <c r="D287" s="5"/>
      <c r="E287" s="5"/>
      <c r="F287" s="40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2.75">
      <c r="A288" s="1" t="s">
        <v>31</v>
      </c>
      <c r="B288" s="28">
        <v>15</v>
      </c>
      <c r="C288" s="93">
        <f>253.9</f>
        <v>253.9</v>
      </c>
      <c r="D288" s="5">
        <v>14980.1</v>
      </c>
      <c r="E288" s="5">
        <v>18153.74</v>
      </c>
      <c r="F288" s="40">
        <f>E288*100/D288</f>
        <v>121.18570637045148</v>
      </c>
      <c r="G288" s="5">
        <f>H288+O288</f>
        <v>5174.26</v>
      </c>
      <c r="H288" s="5">
        <v>4818.76</v>
      </c>
      <c r="I288" s="5">
        <f>SUM(J288:N288)</f>
        <v>4818.76</v>
      </c>
      <c r="J288" s="5">
        <v>1939.79</v>
      </c>
      <c r="K288" s="5"/>
      <c r="L288" s="5">
        <v>232.29</v>
      </c>
      <c r="M288" s="5">
        <v>2646.68</v>
      </c>
      <c r="N288" s="5"/>
      <c r="O288" s="5">
        <f>4266/12*1</f>
        <v>355.5</v>
      </c>
      <c r="P288" s="5">
        <v>0</v>
      </c>
      <c r="Q288" s="5">
        <v>0</v>
      </c>
    </row>
    <row r="289" spans="1:17" ht="12.75">
      <c r="A289" s="1"/>
      <c r="B289" s="28"/>
      <c r="C289" s="1"/>
      <c r="D289" s="5"/>
      <c r="E289" s="5"/>
      <c r="F289" s="40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2.75">
      <c r="A290" s="1" t="s">
        <v>31</v>
      </c>
      <c r="B290" s="28">
        <v>3</v>
      </c>
      <c r="C290" s="1">
        <v>273.4</v>
      </c>
      <c r="D290" s="5">
        <v>26793.32</v>
      </c>
      <c r="E290" s="5">
        <v>26033.06</v>
      </c>
      <c r="F290" s="40">
        <f>E290*100/D290</f>
        <v>97.16250169818447</v>
      </c>
      <c r="G290" s="5">
        <f>H290+O290</f>
        <v>58182.84</v>
      </c>
      <c r="H290" s="5">
        <v>50472.84</v>
      </c>
      <c r="I290" s="5">
        <f>SUM(J290:N290)</f>
        <v>50472.84</v>
      </c>
      <c r="J290" s="5">
        <v>2258.27</v>
      </c>
      <c r="K290" s="5"/>
      <c r="L290" s="5">
        <v>212.88</v>
      </c>
      <c r="M290" s="5">
        <f>37489.13+10512.56</f>
        <v>48001.689999999995</v>
      </c>
      <c r="N290" s="5"/>
      <c r="O290" s="5">
        <v>7710</v>
      </c>
      <c r="P290" s="5">
        <v>12985.84</v>
      </c>
      <c r="Q290" s="5">
        <v>0</v>
      </c>
    </row>
    <row r="291" spans="1:17" ht="12.75">
      <c r="A291" s="1"/>
      <c r="B291" s="28"/>
      <c r="C291" s="1"/>
      <c r="D291" s="5"/>
      <c r="E291" s="5"/>
      <c r="F291" s="40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2.75">
      <c r="A292" s="1" t="s">
        <v>31</v>
      </c>
      <c r="B292" s="28" t="s">
        <v>30</v>
      </c>
      <c r="C292" s="1">
        <v>388.7</v>
      </c>
      <c r="D292" s="5">
        <v>33210.6</v>
      </c>
      <c r="E292" s="5">
        <v>31446.74</v>
      </c>
      <c r="F292" s="40">
        <f>E292*100/D292</f>
        <v>94.68886439871608</v>
      </c>
      <c r="G292" s="5">
        <f>H292+O292</f>
        <v>75769.62</v>
      </c>
      <c r="H292" s="5">
        <v>69239.62</v>
      </c>
      <c r="I292" s="5">
        <f>SUM(J292:N292)</f>
        <v>69239.62</v>
      </c>
      <c r="J292" s="5">
        <v>3210.65</v>
      </c>
      <c r="K292" s="5"/>
      <c r="L292" s="5"/>
      <c r="M292" s="5">
        <v>66028.97</v>
      </c>
      <c r="N292" s="5"/>
      <c r="O292" s="5">
        <v>6530</v>
      </c>
      <c r="P292" s="5">
        <v>38373.61</v>
      </c>
      <c r="Q292" s="5">
        <v>15856.75</v>
      </c>
    </row>
    <row r="293" spans="1:17" ht="12.75">
      <c r="A293" s="48"/>
      <c r="B293" s="43"/>
      <c r="C293" s="95">
        <f>C288+C286+C276+C272+C260+C254+C252+C250+C248+C238+C222+C22</f>
        <v>2020.4099999999999</v>
      </c>
      <c r="D293" s="48"/>
      <c r="E293" s="48"/>
      <c r="F293" s="89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</row>
    <row r="294" spans="1:17" ht="12.75">
      <c r="A294" s="44"/>
      <c r="B294" s="43"/>
      <c r="C294" s="48">
        <f aca="true" t="shared" si="1" ref="C294:Q294">SUM(C8:C292)-C195-C196-C197-C198-C199</f>
        <v>147277.22000000003</v>
      </c>
      <c r="D294" s="48">
        <f t="shared" si="1"/>
        <v>15692963.389999993</v>
      </c>
      <c r="E294" s="48">
        <f t="shared" si="1"/>
        <v>15344689.780000005</v>
      </c>
      <c r="F294" s="48">
        <f t="shared" si="1"/>
        <v>14125.43398768387</v>
      </c>
      <c r="G294" s="48">
        <f t="shared" si="1"/>
        <v>15248548.530000003</v>
      </c>
      <c r="H294" s="48">
        <f t="shared" si="1"/>
        <v>11889328.349999998</v>
      </c>
      <c r="I294" s="48">
        <f t="shared" si="1"/>
        <v>11889327.522340003</v>
      </c>
      <c r="J294" s="48">
        <f t="shared" si="1"/>
        <v>1185600.4400000006</v>
      </c>
      <c r="K294" s="48">
        <f t="shared" si="1"/>
        <v>55214.33999999999</v>
      </c>
      <c r="L294" s="48">
        <f t="shared" si="1"/>
        <v>110998.31000000006</v>
      </c>
      <c r="M294" s="48">
        <f t="shared" si="1"/>
        <v>10421684.432340004</v>
      </c>
      <c r="N294" s="48">
        <f t="shared" si="1"/>
        <v>115830</v>
      </c>
      <c r="O294" s="48">
        <f t="shared" si="1"/>
        <v>3359220.18</v>
      </c>
      <c r="P294" s="48">
        <f t="shared" si="1"/>
        <v>9412759.889999988</v>
      </c>
      <c r="Q294" s="48">
        <f t="shared" si="1"/>
        <v>3807499.6340000005</v>
      </c>
    </row>
    <row r="295" ht="12.75">
      <c r="A295" s="49" t="s">
        <v>72</v>
      </c>
    </row>
    <row r="296" spans="1:17" ht="12.75">
      <c r="A296" s="61" t="s">
        <v>5</v>
      </c>
      <c r="B296" s="62"/>
      <c r="C296" s="57" t="s">
        <v>54</v>
      </c>
      <c r="D296" s="57" t="s">
        <v>56</v>
      </c>
      <c r="E296" s="57" t="s">
        <v>15</v>
      </c>
      <c r="F296" s="57" t="s">
        <v>0</v>
      </c>
      <c r="G296" s="57" t="s">
        <v>58</v>
      </c>
      <c r="H296" s="57" t="s">
        <v>57</v>
      </c>
      <c r="I296" s="57" t="s">
        <v>66</v>
      </c>
      <c r="J296" s="55" t="s">
        <v>59</v>
      </c>
      <c r="K296" s="56"/>
      <c r="L296" s="56"/>
      <c r="M296" s="56"/>
      <c r="N296" s="56"/>
      <c r="O296" s="70"/>
      <c r="P296" s="53" t="s">
        <v>55</v>
      </c>
      <c r="Q296" s="54"/>
    </row>
    <row r="297" spans="1:17" ht="66">
      <c r="A297" s="68"/>
      <c r="B297" s="69"/>
      <c r="C297" s="65"/>
      <c r="D297" s="65"/>
      <c r="E297" s="65"/>
      <c r="F297" s="65"/>
      <c r="G297" s="65"/>
      <c r="H297" s="66"/>
      <c r="I297" s="66"/>
      <c r="J297" s="65" t="s">
        <v>61</v>
      </c>
      <c r="K297" s="65" t="s">
        <v>62</v>
      </c>
      <c r="L297" s="65" t="s">
        <v>60</v>
      </c>
      <c r="M297" s="65" t="s">
        <v>63</v>
      </c>
      <c r="N297" s="57" t="s">
        <v>64</v>
      </c>
      <c r="O297" s="57" t="s">
        <v>53</v>
      </c>
      <c r="P297" s="20" t="s">
        <v>50</v>
      </c>
      <c r="Q297" s="19" t="s">
        <v>4</v>
      </c>
    </row>
    <row r="298" spans="1:17" ht="26.25">
      <c r="A298" s="27" t="s">
        <v>6</v>
      </c>
      <c r="B298" s="27" t="s">
        <v>7</v>
      </c>
      <c r="C298" s="58"/>
      <c r="D298" s="58"/>
      <c r="E298" s="58"/>
      <c r="F298" s="58"/>
      <c r="G298" s="58"/>
      <c r="H298" s="67"/>
      <c r="I298" s="67"/>
      <c r="J298" s="58"/>
      <c r="K298" s="58"/>
      <c r="L298" s="58"/>
      <c r="M298" s="58"/>
      <c r="N298" s="58"/>
      <c r="O298" s="58"/>
      <c r="P298" s="22" t="s">
        <v>16</v>
      </c>
      <c r="Q298" s="21" t="s">
        <v>17</v>
      </c>
    </row>
    <row r="299" spans="1:17" ht="12.75">
      <c r="A299" s="33">
        <v>1</v>
      </c>
      <c r="B299" s="25">
        <v>2</v>
      </c>
      <c r="C299" s="25">
        <v>3</v>
      </c>
      <c r="D299" s="25">
        <v>4</v>
      </c>
      <c r="E299" s="25">
        <v>5</v>
      </c>
      <c r="F299" s="25">
        <v>6</v>
      </c>
      <c r="G299" s="25">
        <v>7</v>
      </c>
      <c r="H299" s="25"/>
      <c r="I299" s="25"/>
      <c r="J299" s="25">
        <v>8</v>
      </c>
      <c r="K299" s="25">
        <v>9</v>
      </c>
      <c r="L299" s="25">
        <v>10</v>
      </c>
      <c r="M299" s="25">
        <v>11</v>
      </c>
      <c r="N299" s="25">
        <v>12</v>
      </c>
      <c r="O299" s="25">
        <v>13</v>
      </c>
      <c r="P299" s="25">
        <v>14</v>
      </c>
      <c r="Q299" s="26">
        <v>15</v>
      </c>
    </row>
    <row r="300" spans="1:1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>
      <c r="A301" s="1" t="s">
        <v>68</v>
      </c>
      <c r="B301" s="1">
        <v>1</v>
      </c>
      <c r="C301" s="1">
        <v>1313.6</v>
      </c>
      <c r="D301" s="83">
        <v>108729.13</v>
      </c>
      <c r="E301" s="83">
        <v>104288.11</v>
      </c>
      <c r="F301" s="40">
        <f>E301*100/D301</f>
        <v>95.91551960362416</v>
      </c>
      <c r="G301" s="5">
        <f>J301+K301+L301+M301+N301+O301</f>
        <v>88214.95000000001</v>
      </c>
      <c r="H301" s="5">
        <f>I301</f>
        <v>64412.950000000004</v>
      </c>
      <c r="I301" s="5">
        <f>J301+K301+L301+M301+N301</f>
        <v>64412.950000000004</v>
      </c>
      <c r="J301" s="5">
        <v>10392.73</v>
      </c>
      <c r="K301" s="5">
        <v>792.4</v>
      </c>
      <c r="L301" s="5">
        <v>1095.2</v>
      </c>
      <c r="M301" s="5">
        <f>31678.2+20108.9+345.52</f>
        <v>52132.62</v>
      </c>
      <c r="N301" s="5">
        <v>0</v>
      </c>
      <c r="O301" s="5">
        <v>23802</v>
      </c>
      <c r="P301" s="46">
        <v>94040.49</v>
      </c>
      <c r="Q301" s="47">
        <v>43616.67</v>
      </c>
    </row>
    <row r="302" spans="1:17" ht="12.75">
      <c r="A302" s="1"/>
      <c r="B302" s="1"/>
      <c r="C302" s="1"/>
      <c r="D302" s="83"/>
      <c r="E302" s="83"/>
      <c r="F302" s="40"/>
      <c r="G302" s="5"/>
      <c r="H302" s="5"/>
      <c r="I302" s="5"/>
      <c r="J302" s="5"/>
      <c r="K302" s="5"/>
      <c r="L302" s="5"/>
      <c r="M302" s="5"/>
      <c r="N302" s="5"/>
      <c r="O302" s="5"/>
      <c r="P302" s="46"/>
      <c r="Q302" s="47"/>
    </row>
    <row r="303" spans="1:17" ht="12.75">
      <c r="A303" s="1" t="s">
        <v>68</v>
      </c>
      <c r="B303" s="1">
        <v>2</v>
      </c>
      <c r="C303" s="1">
        <v>1302.8</v>
      </c>
      <c r="D303" s="83">
        <v>118816.52</v>
      </c>
      <c r="E303" s="83">
        <v>117113.18</v>
      </c>
      <c r="F303" s="40">
        <f>E303*100/D303</f>
        <v>98.56641147207476</v>
      </c>
      <c r="G303" s="5">
        <f>J303+K303+L303+M303+N303+O303</f>
        <v>85519.76</v>
      </c>
      <c r="H303" s="5">
        <f>I303</f>
        <v>61912.759999999995</v>
      </c>
      <c r="I303" s="5">
        <f>J303+K303+L303+M303+N303</f>
        <v>61912.759999999995</v>
      </c>
      <c r="J303" s="5">
        <v>10331.24</v>
      </c>
      <c r="K303" s="5">
        <v>792.4</v>
      </c>
      <c r="L303" s="5">
        <v>1102.66</v>
      </c>
      <c r="M303" s="5">
        <f>20116.93+29224.02+345.51</f>
        <v>49686.46</v>
      </c>
      <c r="N303" s="5">
        <v>0</v>
      </c>
      <c r="O303" s="5">
        <v>23607</v>
      </c>
      <c r="P303" s="46">
        <v>96775.97</v>
      </c>
      <c r="Q303" s="47">
        <v>38364.64</v>
      </c>
    </row>
    <row r="304" spans="1:17" ht="12.75">
      <c r="A304" s="1"/>
      <c r="B304" s="1"/>
      <c r="C304" s="1"/>
      <c r="D304" s="83"/>
      <c r="E304" s="83"/>
      <c r="F304" s="40"/>
      <c r="G304" s="5"/>
      <c r="H304" s="5"/>
      <c r="I304" s="5"/>
      <c r="J304" s="5"/>
      <c r="K304" s="5"/>
      <c r="L304" s="5"/>
      <c r="M304" s="5"/>
      <c r="N304" s="5"/>
      <c r="O304" s="5"/>
      <c r="P304" s="46"/>
      <c r="Q304" s="47"/>
    </row>
    <row r="305" spans="1:17" ht="12.75">
      <c r="A305" s="1" t="s">
        <v>68</v>
      </c>
      <c r="B305" s="1">
        <v>3</v>
      </c>
      <c r="C305" s="1">
        <v>1290.9</v>
      </c>
      <c r="D305" s="83">
        <v>117178.43</v>
      </c>
      <c r="E305" s="83">
        <v>108313.99</v>
      </c>
      <c r="F305" s="40">
        <f>E305*100/D305</f>
        <v>92.43509236298866</v>
      </c>
      <c r="G305" s="5">
        <f>J305+K305+L305+M305+N305+O305</f>
        <v>85050.73999999999</v>
      </c>
      <c r="H305" s="5">
        <f>I305</f>
        <v>61659.73999999999</v>
      </c>
      <c r="I305" s="5">
        <f>J305+K305+L305+M305+N305</f>
        <v>61659.73999999999</v>
      </c>
      <c r="J305" s="5">
        <v>10236.71</v>
      </c>
      <c r="K305" s="5">
        <v>792.4</v>
      </c>
      <c r="L305" s="5">
        <v>1095.2</v>
      </c>
      <c r="M305" s="5">
        <f>29069.73+345.51+20120.19</f>
        <v>49535.42999999999</v>
      </c>
      <c r="N305" s="5">
        <v>0</v>
      </c>
      <c r="O305" s="5">
        <v>23391</v>
      </c>
      <c r="P305" s="46">
        <v>200676.49</v>
      </c>
      <c r="Q305" s="47">
        <v>124904.35</v>
      </c>
    </row>
    <row r="306" ht="12" customHeight="1"/>
    <row r="307" spans="3:17" ht="12" customHeight="1">
      <c r="C307" s="77">
        <f>SUM(C301:C305)</f>
        <v>3907.2999999999997</v>
      </c>
      <c r="D307" s="77">
        <f aca="true" t="shared" si="2" ref="D307:Q307">SUM(D301:D305)</f>
        <v>344724.08</v>
      </c>
      <c r="E307" s="77">
        <f t="shared" si="2"/>
        <v>329715.27999999997</v>
      </c>
      <c r="F307" s="77"/>
      <c r="G307" s="77">
        <f t="shared" si="2"/>
        <v>258785.45</v>
      </c>
      <c r="H307" s="77">
        <f t="shared" si="2"/>
        <v>187985.44999999998</v>
      </c>
      <c r="I307" s="77">
        <f t="shared" si="2"/>
        <v>187985.44999999998</v>
      </c>
      <c r="J307" s="77">
        <f t="shared" si="2"/>
        <v>30960.68</v>
      </c>
      <c r="K307" s="77">
        <f t="shared" si="2"/>
        <v>2377.2</v>
      </c>
      <c r="L307" s="77">
        <f t="shared" si="2"/>
        <v>3293.0600000000004</v>
      </c>
      <c r="M307" s="77">
        <f t="shared" si="2"/>
        <v>151354.51</v>
      </c>
      <c r="N307" s="77">
        <f t="shared" si="2"/>
        <v>0</v>
      </c>
      <c r="O307" s="77">
        <f t="shared" si="2"/>
        <v>70800</v>
      </c>
      <c r="P307" s="77">
        <f t="shared" si="2"/>
        <v>391492.95</v>
      </c>
      <c r="Q307" s="77">
        <f t="shared" si="2"/>
        <v>206885.66</v>
      </c>
    </row>
    <row r="308" ht="12.75">
      <c r="A308" s="41" t="s">
        <v>71</v>
      </c>
    </row>
    <row r="309" spans="1:17" ht="12.75">
      <c r="A309" s="61" t="s">
        <v>5</v>
      </c>
      <c r="B309" s="62"/>
      <c r="C309" s="57" t="s">
        <v>54</v>
      </c>
      <c r="D309" s="57" t="s">
        <v>56</v>
      </c>
      <c r="E309" s="57" t="s">
        <v>15</v>
      </c>
      <c r="F309" s="57" t="s">
        <v>0</v>
      </c>
      <c r="G309" s="57" t="s">
        <v>58</v>
      </c>
      <c r="H309" s="57" t="s">
        <v>57</v>
      </c>
      <c r="I309" s="57" t="s">
        <v>66</v>
      </c>
      <c r="J309" s="55" t="s">
        <v>59</v>
      </c>
      <c r="K309" s="56"/>
      <c r="L309" s="56"/>
      <c r="M309" s="56"/>
      <c r="N309" s="56"/>
      <c r="O309" s="70"/>
      <c r="P309" s="53" t="s">
        <v>55</v>
      </c>
      <c r="Q309" s="54"/>
    </row>
    <row r="310" spans="1:17" ht="66">
      <c r="A310" s="68"/>
      <c r="B310" s="69"/>
      <c r="C310" s="65"/>
      <c r="D310" s="65"/>
      <c r="E310" s="65"/>
      <c r="F310" s="65"/>
      <c r="G310" s="65"/>
      <c r="H310" s="66"/>
      <c r="I310" s="66"/>
      <c r="J310" s="65" t="s">
        <v>61</v>
      </c>
      <c r="K310" s="65" t="s">
        <v>62</v>
      </c>
      <c r="L310" s="65" t="s">
        <v>60</v>
      </c>
      <c r="M310" s="65" t="s">
        <v>63</v>
      </c>
      <c r="N310" s="57" t="s">
        <v>64</v>
      </c>
      <c r="O310" s="57" t="s">
        <v>53</v>
      </c>
      <c r="P310" s="20" t="s">
        <v>50</v>
      </c>
      <c r="Q310" s="19" t="s">
        <v>4</v>
      </c>
    </row>
    <row r="311" spans="1:17" ht="26.25">
      <c r="A311" s="27" t="s">
        <v>6</v>
      </c>
      <c r="B311" s="27" t="s">
        <v>7</v>
      </c>
      <c r="C311" s="58"/>
      <c r="D311" s="58"/>
      <c r="E311" s="58"/>
      <c r="F311" s="58"/>
      <c r="G311" s="58"/>
      <c r="H311" s="67"/>
      <c r="I311" s="67"/>
      <c r="J311" s="58"/>
      <c r="K311" s="58"/>
      <c r="L311" s="58"/>
      <c r="M311" s="58"/>
      <c r="N311" s="58"/>
      <c r="O311" s="58"/>
      <c r="P311" s="22" t="s">
        <v>16</v>
      </c>
      <c r="Q311" s="21" t="s">
        <v>17</v>
      </c>
    </row>
    <row r="312" spans="1:17" ht="12.75">
      <c r="A312" s="33">
        <v>1</v>
      </c>
      <c r="B312" s="25">
        <v>2</v>
      </c>
      <c r="C312" s="25">
        <v>3</v>
      </c>
      <c r="D312" s="25">
        <v>4</v>
      </c>
      <c r="E312" s="25">
        <v>5</v>
      </c>
      <c r="F312" s="25">
        <v>6</v>
      </c>
      <c r="G312" s="25">
        <v>7</v>
      </c>
      <c r="H312" s="25"/>
      <c r="I312" s="25"/>
      <c r="J312" s="25">
        <v>8</v>
      </c>
      <c r="K312" s="25">
        <v>9</v>
      </c>
      <c r="L312" s="25">
        <v>10</v>
      </c>
      <c r="M312" s="25">
        <v>11</v>
      </c>
      <c r="N312" s="25">
        <v>12</v>
      </c>
      <c r="O312" s="25">
        <v>13</v>
      </c>
      <c r="P312" s="25">
        <v>14</v>
      </c>
      <c r="Q312" s="26">
        <v>15</v>
      </c>
    </row>
    <row r="313" spans="1:17" ht="12.75">
      <c r="A313" s="1" t="s">
        <v>69</v>
      </c>
      <c r="B313" s="1">
        <v>2</v>
      </c>
      <c r="C313" s="1">
        <v>786.3</v>
      </c>
      <c r="D313" s="5">
        <v>67666.8</v>
      </c>
      <c r="E313" s="5">
        <v>63835.84</v>
      </c>
      <c r="F313" s="40">
        <f>E313*100/D313</f>
        <v>94.3384939142977</v>
      </c>
      <c r="G313" s="5">
        <f>J313+K313+L313+M313+N313+O313</f>
        <v>304841.12</v>
      </c>
      <c r="H313" s="5">
        <f>291778.12</f>
        <v>291778.12</v>
      </c>
      <c r="I313" s="5">
        <f>SUM(J313:N313)</f>
        <v>291778.12</v>
      </c>
      <c r="J313" s="5">
        <v>6461.43</v>
      </c>
      <c r="K313" s="5">
        <v>812</v>
      </c>
      <c r="L313" s="5">
        <v>650.03</v>
      </c>
      <c r="M313" s="5">
        <f>36381.82+246770.84</f>
        <v>283152.66</v>
      </c>
      <c r="N313" s="5">
        <v>702</v>
      </c>
      <c r="O313" s="5">
        <v>13063</v>
      </c>
      <c r="P313" s="5">
        <v>68636.78</v>
      </c>
      <c r="Q313" s="5">
        <v>35483.55</v>
      </c>
    </row>
    <row r="314" spans="1:17" ht="12.75">
      <c r="A314" s="1"/>
      <c r="B314" s="1"/>
      <c r="C314" s="1"/>
      <c r="D314" s="5"/>
      <c r="E314" s="5"/>
      <c r="F314" s="40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2.75">
      <c r="A315" s="1" t="s">
        <v>69</v>
      </c>
      <c r="B315" s="1">
        <v>3</v>
      </c>
      <c r="C315" s="1">
        <v>577</v>
      </c>
      <c r="D315" s="5">
        <v>73744.56</v>
      </c>
      <c r="E315" s="5">
        <v>67652.81</v>
      </c>
      <c r="F315" s="40">
        <f>E315*100/D315</f>
        <v>91.73939067505454</v>
      </c>
      <c r="G315" s="5">
        <f aca="true" t="shared" si="3" ref="G315:G321">J315+K315+L315+M315+N315+O315</f>
        <v>50749.85</v>
      </c>
      <c r="H315" s="5">
        <v>33854.85</v>
      </c>
      <c r="I315" s="5">
        <f aca="true" t="shared" si="4" ref="I315:I321">SUM(J315:N315)</f>
        <v>33854.85</v>
      </c>
      <c r="J315" s="5">
        <v>4626.41</v>
      </c>
      <c r="K315" s="5">
        <v>602</v>
      </c>
      <c r="L315" s="5">
        <v>483.42</v>
      </c>
      <c r="M315" s="5">
        <v>27207.02</v>
      </c>
      <c r="N315" s="5">
        <v>936</v>
      </c>
      <c r="O315" s="5">
        <v>16895</v>
      </c>
      <c r="P315" s="5">
        <v>67090.19</v>
      </c>
      <c r="Q315" s="5">
        <v>35986.64</v>
      </c>
    </row>
    <row r="316" spans="1:17" ht="12.75">
      <c r="A316" s="1"/>
      <c r="B316" s="1"/>
      <c r="C316" s="1"/>
      <c r="D316" s="5"/>
      <c r="E316" s="5"/>
      <c r="F316" s="40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2.75">
      <c r="A317" s="1" t="s">
        <v>69</v>
      </c>
      <c r="B317" s="1">
        <v>4</v>
      </c>
      <c r="C317" s="1">
        <v>848.1</v>
      </c>
      <c r="D317" s="5">
        <v>108608.23</v>
      </c>
      <c r="E317" s="5">
        <v>125603.88</v>
      </c>
      <c r="F317" s="40">
        <f>E317*100/D317</f>
        <v>115.64858390565799</v>
      </c>
      <c r="G317" s="5">
        <f t="shared" si="3"/>
        <v>70418.13</v>
      </c>
      <c r="H317" s="5">
        <f>45587.13</f>
        <v>45587.13</v>
      </c>
      <c r="I317" s="5">
        <f t="shared" si="4"/>
        <v>45587.13</v>
      </c>
      <c r="J317" s="5">
        <v>6937.15</v>
      </c>
      <c r="K317" s="5">
        <v>896</v>
      </c>
      <c r="L317" s="5">
        <v>652.52</v>
      </c>
      <c r="M317" s="5">
        <v>35463.46</v>
      </c>
      <c r="N317" s="5">
        <v>1638</v>
      </c>
      <c r="O317" s="5">
        <v>24831</v>
      </c>
      <c r="P317" s="5">
        <v>59271.53</v>
      </c>
      <c r="Q317" s="5">
        <v>21212.29</v>
      </c>
    </row>
    <row r="318" spans="1:17" ht="12.75">
      <c r="A318" s="1"/>
      <c r="B318" s="1"/>
      <c r="C318" s="1"/>
      <c r="D318" s="5"/>
      <c r="E318" s="5"/>
      <c r="F318" s="40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2.75">
      <c r="A319" s="1" t="s">
        <v>69</v>
      </c>
      <c r="B319" s="1">
        <v>5</v>
      </c>
      <c r="C319" s="1">
        <v>792.4</v>
      </c>
      <c r="D319" s="5">
        <v>101583.6</v>
      </c>
      <c r="E319" s="5">
        <v>101358.62</v>
      </c>
      <c r="F319" s="40">
        <f>E319*100/D319</f>
        <v>99.77852724258639</v>
      </c>
      <c r="G319" s="5">
        <f t="shared" si="3"/>
        <v>69399.45000000001</v>
      </c>
      <c r="H319" s="5">
        <v>46196.45</v>
      </c>
      <c r="I319" s="5">
        <f t="shared" si="4"/>
        <v>46196.450000000004</v>
      </c>
      <c r="J319" s="5">
        <v>6521.3</v>
      </c>
      <c r="K319" s="5">
        <v>910</v>
      </c>
      <c r="L319" s="5">
        <v>712.18</v>
      </c>
      <c r="M319" s="5">
        <v>36180.97</v>
      </c>
      <c r="N319" s="5">
        <v>1872</v>
      </c>
      <c r="O319" s="5">
        <v>23203</v>
      </c>
      <c r="P319" s="5">
        <v>28773.59</v>
      </c>
      <c r="Q319" s="5">
        <v>2645.45</v>
      </c>
    </row>
    <row r="320" spans="1:17" ht="12.75">
      <c r="A320" s="1"/>
      <c r="B320" s="1"/>
      <c r="C320" s="1"/>
      <c r="D320" s="5"/>
      <c r="E320" s="5"/>
      <c r="F320" s="40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2.75">
      <c r="A321" s="1" t="s">
        <v>69</v>
      </c>
      <c r="B321" s="1">
        <v>6</v>
      </c>
      <c r="C321" s="1">
        <v>869</v>
      </c>
      <c r="D321" s="5">
        <v>110072.24</v>
      </c>
      <c r="E321" s="5">
        <v>112954.75</v>
      </c>
      <c r="F321" s="40">
        <f>E321*100/D321</f>
        <v>102.61874383586633</v>
      </c>
      <c r="G321" s="5">
        <f t="shared" si="3"/>
        <v>82860.27</v>
      </c>
      <c r="H321" s="5">
        <v>57416.27</v>
      </c>
      <c r="I321" s="5">
        <f t="shared" si="4"/>
        <v>57416.270000000004</v>
      </c>
      <c r="J321" s="5">
        <v>7114.75</v>
      </c>
      <c r="K321" s="5">
        <v>845.6</v>
      </c>
      <c r="L321" s="5">
        <v>677.38</v>
      </c>
      <c r="M321" s="5">
        <v>46438.54</v>
      </c>
      <c r="N321" s="5">
        <v>2340</v>
      </c>
      <c r="O321" s="5">
        <v>25444</v>
      </c>
      <c r="P321" s="5">
        <v>39860.04</v>
      </c>
      <c r="Q321" s="5">
        <v>4390.54</v>
      </c>
    </row>
    <row r="322" spans="1:17" ht="12.75">
      <c r="A322" s="44"/>
      <c r="B322" s="44"/>
      <c r="C322" s="44"/>
      <c r="D322" s="48"/>
      <c r="E322" s="48"/>
      <c r="F322" s="89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</row>
    <row r="323" spans="3:17" ht="12.75">
      <c r="C323" s="77">
        <f>SUM(C313:C321)</f>
        <v>3872.8</v>
      </c>
      <c r="D323" s="77">
        <f aca="true" t="shared" si="5" ref="D323:Q323">SUM(D313:D321)</f>
        <v>461675.42999999993</v>
      </c>
      <c r="E323" s="77">
        <f t="shared" si="5"/>
        <v>471405.9</v>
      </c>
      <c r="F323" s="77"/>
      <c r="G323" s="77">
        <f t="shared" si="5"/>
        <v>578268.82</v>
      </c>
      <c r="H323" s="77">
        <f t="shared" si="5"/>
        <v>474832.82</v>
      </c>
      <c r="I323" s="77">
        <f t="shared" si="5"/>
        <v>474832.82</v>
      </c>
      <c r="J323" s="77">
        <f t="shared" si="5"/>
        <v>31661.039999999997</v>
      </c>
      <c r="K323" s="77">
        <f t="shared" si="5"/>
        <v>4065.6</v>
      </c>
      <c r="L323" s="77">
        <f t="shared" si="5"/>
        <v>3175.53</v>
      </c>
      <c r="M323" s="77">
        <f t="shared" si="5"/>
        <v>428442.64999999997</v>
      </c>
      <c r="N323" s="77">
        <f t="shared" si="5"/>
        <v>7488</v>
      </c>
      <c r="O323" s="77">
        <f t="shared" si="5"/>
        <v>103436</v>
      </c>
      <c r="P323" s="77">
        <f t="shared" si="5"/>
        <v>263632.13</v>
      </c>
      <c r="Q323" s="77">
        <f t="shared" si="5"/>
        <v>99718.47</v>
      </c>
    </row>
    <row r="324" ht="12.75">
      <c r="A324" s="41" t="s">
        <v>70</v>
      </c>
    </row>
    <row r="325" spans="1:17" ht="12.75">
      <c r="A325" s="61" t="s">
        <v>5</v>
      </c>
      <c r="B325" s="62"/>
      <c r="C325" s="57" t="s">
        <v>54</v>
      </c>
      <c r="D325" s="57" t="s">
        <v>56</v>
      </c>
      <c r="E325" s="57" t="s">
        <v>15</v>
      </c>
      <c r="F325" s="57" t="s">
        <v>0</v>
      </c>
      <c r="G325" s="57" t="s">
        <v>58</v>
      </c>
      <c r="H325" s="57" t="s">
        <v>57</v>
      </c>
      <c r="I325" s="57" t="s">
        <v>66</v>
      </c>
      <c r="J325" s="55" t="s">
        <v>59</v>
      </c>
      <c r="K325" s="56"/>
      <c r="L325" s="56"/>
      <c r="M325" s="56"/>
      <c r="N325" s="56"/>
      <c r="O325" s="70"/>
      <c r="P325" s="53" t="s">
        <v>55</v>
      </c>
      <c r="Q325" s="54"/>
    </row>
    <row r="326" spans="1:17" ht="66">
      <c r="A326" s="68"/>
      <c r="B326" s="69"/>
      <c r="C326" s="65"/>
      <c r="D326" s="65"/>
      <c r="E326" s="65"/>
      <c r="F326" s="65"/>
      <c r="G326" s="65"/>
      <c r="H326" s="66"/>
      <c r="I326" s="66"/>
      <c r="J326" s="65" t="s">
        <v>61</v>
      </c>
      <c r="K326" s="65" t="s">
        <v>62</v>
      </c>
      <c r="L326" s="65" t="s">
        <v>60</v>
      </c>
      <c r="M326" s="65" t="s">
        <v>63</v>
      </c>
      <c r="N326" s="57" t="s">
        <v>64</v>
      </c>
      <c r="O326" s="57" t="s">
        <v>53</v>
      </c>
      <c r="P326" s="20" t="s">
        <v>50</v>
      </c>
      <c r="Q326" s="19" t="s">
        <v>4</v>
      </c>
    </row>
    <row r="327" spans="1:17" ht="26.25">
      <c r="A327" s="27" t="s">
        <v>6</v>
      </c>
      <c r="B327" s="27" t="s">
        <v>7</v>
      </c>
      <c r="C327" s="58"/>
      <c r="D327" s="58"/>
      <c r="E327" s="58"/>
      <c r="F327" s="58"/>
      <c r="G327" s="58"/>
      <c r="H327" s="67"/>
      <c r="I327" s="67"/>
      <c r="J327" s="58"/>
      <c r="K327" s="58"/>
      <c r="L327" s="58"/>
      <c r="M327" s="58"/>
      <c r="N327" s="58"/>
      <c r="O327" s="58"/>
      <c r="P327" s="22" t="s">
        <v>16</v>
      </c>
      <c r="Q327" s="21" t="s">
        <v>17</v>
      </c>
    </row>
    <row r="328" spans="1:17" ht="12.75">
      <c r="A328" s="33">
        <v>1</v>
      </c>
      <c r="B328" s="25">
        <v>2</v>
      </c>
      <c r="C328" s="25">
        <v>3</v>
      </c>
      <c r="D328" s="25">
        <v>4</v>
      </c>
      <c r="E328" s="25">
        <v>5</v>
      </c>
      <c r="F328" s="25">
        <v>6</v>
      </c>
      <c r="G328" s="25">
        <v>7</v>
      </c>
      <c r="H328" s="25"/>
      <c r="I328" s="25"/>
      <c r="J328" s="25">
        <v>8</v>
      </c>
      <c r="K328" s="25">
        <v>9</v>
      </c>
      <c r="L328" s="25">
        <v>10</v>
      </c>
      <c r="M328" s="25">
        <v>11</v>
      </c>
      <c r="N328" s="25">
        <v>12</v>
      </c>
      <c r="O328" s="25">
        <v>13</v>
      </c>
      <c r="P328" s="25">
        <v>14</v>
      </c>
      <c r="Q328" s="26">
        <v>15</v>
      </c>
    </row>
    <row r="329" spans="1:17" ht="12.75">
      <c r="A329" s="7" t="s">
        <v>77</v>
      </c>
      <c r="B329" s="7">
        <v>1</v>
      </c>
      <c r="C329" s="7">
        <v>3534.7</v>
      </c>
      <c r="D329" s="6">
        <v>361615.32</v>
      </c>
      <c r="E329" s="6">
        <v>356404.29</v>
      </c>
      <c r="F329" s="37">
        <f>E329*100/D329</f>
        <v>98.55895762380864</v>
      </c>
      <c r="G329" s="5">
        <f>J329+K329+L329+M329+N329+O329</f>
        <v>217467.94999999998</v>
      </c>
      <c r="H329" s="6">
        <v>139845.95</v>
      </c>
      <c r="I329" s="6">
        <f>SUM(J329:N329)</f>
        <v>139845.94999999998</v>
      </c>
      <c r="J329" s="6">
        <v>27547.54</v>
      </c>
      <c r="K329" s="6">
        <v>1657.6</v>
      </c>
      <c r="L329" s="6">
        <v>2473.94</v>
      </c>
      <c r="M329" s="6">
        <v>108166.87</v>
      </c>
      <c r="N329" s="9"/>
      <c r="O329" s="6">
        <v>77622</v>
      </c>
      <c r="P329" s="6">
        <v>164954.51</v>
      </c>
      <c r="Q329" s="72">
        <v>52660.7</v>
      </c>
    </row>
    <row r="330" spans="1:17" ht="12.75">
      <c r="A330" s="7"/>
      <c r="B330" s="7"/>
      <c r="C330" s="7"/>
      <c r="D330" s="6"/>
      <c r="E330" s="6"/>
      <c r="F330" s="37"/>
      <c r="G330" s="5"/>
      <c r="H330" s="6"/>
      <c r="I330" s="6"/>
      <c r="J330" s="6"/>
      <c r="K330" s="6"/>
      <c r="L330" s="6"/>
      <c r="M330" s="6"/>
      <c r="N330" s="9"/>
      <c r="O330" s="6"/>
      <c r="P330" s="6"/>
      <c r="Q330" s="38"/>
    </row>
    <row r="331" spans="1:17" ht="12.75">
      <c r="A331" s="7" t="s">
        <v>77</v>
      </c>
      <c r="B331" s="7">
        <v>2</v>
      </c>
      <c r="C331" s="7">
        <v>3260.1</v>
      </c>
      <c r="D331" s="6">
        <v>333682.92</v>
      </c>
      <c r="E331" s="6">
        <v>332843.22</v>
      </c>
      <c r="F331" s="37">
        <f>E331*100/D331</f>
        <v>99.74835391634669</v>
      </c>
      <c r="G331" s="5">
        <f aca="true" t="shared" si="6" ref="G331:G349">J331+K331+L331+M331+N331+O331</f>
        <v>211154.78</v>
      </c>
      <c r="H331" s="6">
        <v>139562.78</v>
      </c>
      <c r="I331" s="6">
        <f aca="true" t="shared" si="7" ref="I331:I349">SUM(J331:N331)</f>
        <v>139562.78</v>
      </c>
      <c r="J331" s="6">
        <v>25420.69</v>
      </c>
      <c r="K331" s="6">
        <v>1212.4</v>
      </c>
      <c r="L331" s="6">
        <v>2685.15</v>
      </c>
      <c r="M331" s="6">
        <v>110244.54</v>
      </c>
      <c r="N331" s="9"/>
      <c r="O331" s="6">
        <v>71592</v>
      </c>
      <c r="P331" s="6">
        <v>297021.25</v>
      </c>
      <c r="Q331" s="38">
        <v>199712.8</v>
      </c>
    </row>
    <row r="332" spans="1:17" ht="12.75">
      <c r="A332" s="7"/>
      <c r="B332" s="7"/>
      <c r="C332" s="7"/>
      <c r="D332" s="6"/>
      <c r="E332" s="6"/>
      <c r="F332" s="37"/>
      <c r="G332" s="5"/>
      <c r="H332" s="6"/>
      <c r="I332" s="6"/>
      <c r="J332" s="6"/>
      <c r="K332" s="6"/>
      <c r="L332" s="6"/>
      <c r="M332" s="6"/>
      <c r="N332" s="9"/>
      <c r="O332" s="6"/>
      <c r="P332" s="6"/>
      <c r="Q332" s="38"/>
    </row>
    <row r="333" spans="1:17" ht="12.75">
      <c r="A333" s="7" t="s">
        <v>77</v>
      </c>
      <c r="B333" s="7">
        <v>3</v>
      </c>
      <c r="C333" s="7">
        <v>4377.6</v>
      </c>
      <c r="D333" s="6">
        <v>447899.81</v>
      </c>
      <c r="E333" s="6">
        <v>453436.2</v>
      </c>
      <c r="F333" s="37">
        <f>E333*100/D333</f>
        <v>101.23607777373248</v>
      </c>
      <c r="G333" s="5">
        <f t="shared" si="6"/>
        <v>520075.26</v>
      </c>
      <c r="H333" s="6">
        <f>416962.26+2947+4034</f>
        <v>423943.26</v>
      </c>
      <c r="I333" s="6">
        <f t="shared" si="7"/>
        <v>423943.26</v>
      </c>
      <c r="J333" s="6">
        <v>34125.59</v>
      </c>
      <c r="K333" s="6">
        <v>1600.2</v>
      </c>
      <c r="L333" s="6">
        <v>3161.26</v>
      </c>
      <c r="M333" s="6">
        <f>378075.21+6981</f>
        <v>385056.21</v>
      </c>
      <c r="N333" s="9"/>
      <c r="O333" s="6">
        <v>96132</v>
      </c>
      <c r="P333" s="6">
        <v>309988.61</v>
      </c>
      <c r="Q333" s="38">
        <v>145039.65</v>
      </c>
    </row>
    <row r="334" spans="1:17" ht="12.75">
      <c r="A334" s="7"/>
      <c r="B334" s="7"/>
      <c r="C334" s="7"/>
      <c r="D334" s="6"/>
      <c r="E334" s="6"/>
      <c r="F334" s="37"/>
      <c r="G334" s="5"/>
      <c r="H334" s="6"/>
      <c r="I334" s="6"/>
      <c r="J334" s="6"/>
      <c r="K334" s="6"/>
      <c r="L334" s="6"/>
      <c r="M334" s="6"/>
      <c r="N334" s="9"/>
      <c r="O334" s="6"/>
      <c r="P334" s="6"/>
      <c r="Q334" s="38"/>
    </row>
    <row r="335" spans="1:17" ht="12.75">
      <c r="A335" s="7" t="s">
        <v>77</v>
      </c>
      <c r="B335" s="7">
        <v>39</v>
      </c>
      <c r="C335" s="7">
        <v>100.4</v>
      </c>
      <c r="D335" s="6">
        <v>8865.12</v>
      </c>
      <c r="E335" s="6">
        <v>8571.16</v>
      </c>
      <c r="F335" s="37">
        <f>E335*100/D335</f>
        <v>96.68408323857996</v>
      </c>
      <c r="G335" s="5">
        <f t="shared" si="6"/>
        <v>2913.17</v>
      </c>
      <c r="H335" s="6">
        <v>1479.17</v>
      </c>
      <c r="I335" s="6">
        <f t="shared" si="7"/>
        <v>1479.17</v>
      </c>
      <c r="J335" s="6">
        <v>789.14</v>
      </c>
      <c r="K335" s="6"/>
      <c r="L335" s="6"/>
      <c r="M335" s="6">
        <v>690.03</v>
      </c>
      <c r="N335" s="9"/>
      <c r="O335" s="6">
        <v>1434</v>
      </c>
      <c r="P335" s="6">
        <v>5746.34</v>
      </c>
      <c r="Q335" s="38">
        <v>1274.51</v>
      </c>
    </row>
    <row r="336" spans="1:17" ht="12.75">
      <c r="A336" s="7"/>
      <c r="B336" s="7"/>
      <c r="C336" s="7"/>
      <c r="D336" s="6"/>
      <c r="E336" s="6"/>
      <c r="F336" s="37"/>
      <c r="G336" s="5"/>
      <c r="H336" s="6"/>
      <c r="I336" s="6"/>
      <c r="J336" s="6"/>
      <c r="K336" s="6"/>
      <c r="L336" s="6"/>
      <c r="M336" s="6"/>
      <c r="N336" s="9"/>
      <c r="O336" s="6"/>
      <c r="P336" s="6"/>
      <c r="Q336" s="38"/>
    </row>
    <row r="337" spans="1:17" ht="12.75">
      <c r="A337" s="7" t="s">
        <v>77</v>
      </c>
      <c r="B337" s="7">
        <v>43</v>
      </c>
      <c r="C337" s="7">
        <v>605.7</v>
      </c>
      <c r="D337" s="6">
        <v>53103.12</v>
      </c>
      <c r="E337" s="6">
        <v>51067.38</v>
      </c>
      <c r="F337" s="37">
        <f>E337*100/D337</f>
        <v>96.16643993799234</v>
      </c>
      <c r="G337" s="5">
        <f t="shared" si="6"/>
        <v>50924.74</v>
      </c>
      <c r="H337" s="6">
        <f>40821.74</f>
        <v>40821.74</v>
      </c>
      <c r="I337" s="6">
        <f t="shared" si="7"/>
        <v>40821.74</v>
      </c>
      <c r="J337" s="6">
        <v>4727.13</v>
      </c>
      <c r="K337" s="6"/>
      <c r="L337" s="6">
        <v>563.04</v>
      </c>
      <c r="M337" s="6">
        <v>35531.57</v>
      </c>
      <c r="N337" s="9"/>
      <c r="O337" s="6">
        <v>10103</v>
      </c>
      <c r="P337" s="6">
        <v>28963.32</v>
      </c>
      <c r="Q337" s="38">
        <v>5282.8</v>
      </c>
    </row>
    <row r="338" spans="1:17" ht="12.75">
      <c r="A338" s="7"/>
      <c r="B338" s="7"/>
      <c r="C338" s="7"/>
      <c r="D338" s="6"/>
      <c r="E338" s="6"/>
      <c r="F338" s="37"/>
      <c r="G338" s="5"/>
      <c r="H338" s="6"/>
      <c r="I338" s="6"/>
      <c r="J338" s="6"/>
      <c r="K338" s="6"/>
      <c r="L338" s="6"/>
      <c r="M338" s="6"/>
      <c r="N338" s="9"/>
      <c r="O338" s="6"/>
      <c r="P338" s="6"/>
      <c r="Q338" s="38"/>
    </row>
    <row r="339" spans="1:17" ht="12.75">
      <c r="A339" s="7" t="s">
        <v>77</v>
      </c>
      <c r="B339" s="7">
        <v>46</v>
      </c>
      <c r="C339" s="7">
        <v>1961.59</v>
      </c>
      <c r="D339" s="6">
        <v>200784.07</v>
      </c>
      <c r="E339" s="6">
        <v>191777.46</v>
      </c>
      <c r="F339" s="37">
        <f>E339*100/D339</f>
        <v>95.51428059008865</v>
      </c>
      <c r="G339" s="5">
        <f t="shared" si="6"/>
        <v>135408.94</v>
      </c>
      <c r="H339" s="6">
        <f>92331.94</f>
        <v>92331.94</v>
      </c>
      <c r="I339" s="6">
        <f t="shared" si="7"/>
        <v>92331.94</v>
      </c>
      <c r="J339" s="6">
        <v>15294.12</v>
      </c>
      <c r="K339" s="6">
        <v>1226.4</v>
      </c>
      <c r="L339" s="6">
        <v>1656.26</v>
      </c>
      <c r="M339" s="6">
        <v>74155.16</v>
      </c>
      <c r="N339" s="9"/>
      <c r="O339" s="6">
        <v>43077</v>
      </c>
      <c r="P339" s="6">
        <v>155593.12</v>
      </c>
      <c r="Q339" s="38">
        <v>82547.64</v>
      </c>
    </row>
    <row r="340" spans="1:17" ht="12.75">
      <c r="A340" s="7"/>
      <c r="B340" s="7"/>
      <c r="C340" s="7"/>
      <c r="D340" s="6"/>
      <c r="E340" s="6"/>
      <c r="F340" s="37"/>
      <c r="G340" s="5"/>
      <c r="H340" s="6"/>
      <c r="I340" s="6"/>
      <c r="J340" s="6"/>
      <c r="K340" s="6"/>
      <c r="L340" s="6"/>
      <c r="M340" s="6"/>
      <c r="N340" s="9"/>
      <c r="O340" s="6"/>
      <c r="P340" s="6"/>
      <c r="Q340" s="38"/>
    </row>
    <row r="341" spans="1:17" ht="12.75">
      <c r="A341" s="7" t="s">
        <v>76</v>
      </c>
      <c r="B341" s="7" t="s">
        <v>26</v>
      </c>
      <c r="C341" s="7">
        <v>972.4</v>
      </c>
      <c r="D341" s="6">
        <v>110351.9</v>
      </c>
      <c r="E341" s="6">
        <v>104685.81</v>
      </c>
      <c r="F341" s="37">
        <f>E341*100/D341</f>
        <v>94.86543503102348</v>
      </c>
      <c r="G341" s="5">
        <f t="shared" si="6"/>
        <v>84766.14</v>
      </c>
      <c r="H341" s="6">
        <v>60612.14</v>
      </c>
      <c r="I341" s="6">
        <f t="shared" si="7"/>
        <v>60612.14</v>
      </c>
      <c r="J341" s="6">
        <v>7639.87</v>
      </c>
      <c r="K341" s="6">
        <v>996.8</v>
      </c>
      <c r="L341" s="6">
        <v>841.5</v>
      </c>
      <c r="M341" s="6">
        <v>51133.97</v>
      </c>
      <c r="N341" s="9"/>
      <c r="O341" s="6">
        <v>24154</v>
      </c>
      <c r="P341" s="6">
        <v>80583.87</v>
      </c>
      <c r="Q341" s="47">
        <v>34796.54</v>
      </c>
    </row>
    <row r="342" spans="1:17" ht="12.75">
      <c r="A342" s="7"/>
      <c r="B342" s="7"/>
      <c r="C342" s="7"/>
      <c r="D342" s="6"/>
      <c r="E342" s="6"/>
      <c r="F342" s="37"/>
      <c r="G342" s="5"/>
      <c r="H342" s="6"/>
      <c r="I342" s="6"/>
      <c r="J342" s="6"/>
      <c r="K342" s="6"/>
      <c r="L342" s="6"/>
      <c r="M342" s="6"/>
      <c r="N342" s="9"/>
      <c r="O342" s="6"/>
      <c r="P342" s="6"/>
      <c r="Q342" s="73"/>
    </row>
    <row r="343" spans="1:17" ht="12.75">
      <c r="A343" s="7" t="s">
        <v>76</v>
      </c>
      <c r="B343" s="7" t="s">
        <v>27</v>
      </c>
      <c r="C343" s="7">
        <v>879.8</v>
      </c>
      <c r="D343" s="6">
        <v>101036.64</v>
      </c>
      <c r="E343" s="6">
        <v>135824.27</v>
      </c>
      <c r="F343" s="37">
        <f>E343*100/D343</f>
        <v>134.4307075136307</v>
      </c>
      <c r="G343" s="5">
        <f t="shared" si="6"/>
        <v>70601.56</v>
      </c>
      <c r="H343" s="6">
        <f>48747.56</f>
        <v>48747.56</v>
      </c>
      <c r="I343" s="6">
        <f t="shared" si="7"/>
        <v>48747.560000000005</v>
      </c>
      <c r="J343" s="6">
        <v>6918.76</v>
      </c>
      <c r="K343" s="6"/>
      <c r="L343" s="6">
        <v>749.47</v>
      </c>
      <c r="M343" s="6">
        <v>41079.33</v>
      </c>
      <c r="N343" s="9"/>
      <c r="O343" s="6">
        <v>21854</v>
      </c>
      <c r="P343" s="6">
        <v>141982.5</v>
      </c>
      <c r="Q343" s="47">
        <v>132496.61</v>
      </c>
    </row>
    <row r="344" spans="1:17" ht="12.75">
      <c r="A344" s="7"/>
      <c r="B344" s="7"/>
      <c r="C344" s="7"/>
      <c r="D344" s="6"/>
      <c r="E344" s="6"/>
      <c r="F344" s="37"/>
      <c r="G344" s="5"/>
      <c r="H344" s="6"/>
      <c r="I344" s="6"/>
      <c r="J344" s="6"/>
      <c r="K344" s="6"/>
      <c r="L344" s="6"/>
      <c r="M344" s="6"/>
      <c r="N344" s="9"/>
      <c r="O344" s="6"/>
      <c r="P344" s="6"/>
      <c r="Q344" s="73"/>
    </row>
    <row r="345" spans="1:17" ht="12.75">
      <c r="A345" s="7" t="s">
        <v>75</v>
      </c>
      <c r="B345" s="7">
        <v>1</v>
      </c>
      <c r="C345" s="7">
        <v>787.9</v>
      </c>
      <c r="D345" s="6">
        <v>61441.9</v>
      </c>
      <c r="E345" s="6">
        <v>53575.13</v>
      </c>
      <c r="F345" s="37">
        <f>E345*100/D345</f>
        <v>87.196408314196</v>
      </c>
      <c r="G345" s="5">
        <f t="shared" si="6"/>
        <v>39694.07</v>
      </c>
      <c r="H345" s="6">
        <f>20123.11</f>
        <v>20123.11</v>
      </c>
      <c r="I345" s="6">
        <f t="shared" si="7"/>
        <v>20123.07</v>
      </c>
      <c r="J345" s="6">
        <v>1445.8</v>
      </c>
      <c r="K345" s="6"/>
      <c r="L345" s="6">
        <v>901</v>
      </c>
      <c r="M345" s="6">
        <v>17776.27</v>
      </c>
      <c r="N345" s="9"/>
      <c r="O345" s="6">
        <v>19571</v>
      </c>
      <c r="P345" s="6">
        <v>72293.63</v>
      </c>
      <c r="Q345" s="47">
        <v>40097.93</v>
      </c>
    </row>
    <row r="346" spans="1:17" ht="12.75">
      <c r="A346" s="7"/>
      <c r="B346" s="7"/>
      <c r="C346" s="7"/>
      <c r="D346" s="6"/>
      <c r="E346" s="6"/>
      <c r="F346" s="37"/>
      <c r="G346" s="5"/>
      <c r="H346" s="6"/>
      <c r="I346" s="6"/>
      <c r="J346" s="6"/>
      <c r="K346" s="6"/>
      <c r="L346" s="6"/>
      <c r="M346" s="6"/>
      <c r="N346" s="9"/>
      <c r="O346" s="6"/>
      <c r="P346" s="6"/>
      <c r="Q346" s="73"/>
    </row>
    <row r="347" spans="1:17" ht="12.75">
      <c r="A347" s="7" t="s">
        <v>74</v>
      </c>
      <c r="B347" s="7">
        <v>1</v>
      </c>
      <c r="C347" s="7">
        <v>377.5</v>
      </c>
      <c r="D347" s="6">
        <v>33385.92</v>
      </c>
      <c r="E347" s="6">
        <v>37110.77</v>
      </c>
      <c r="F347" s="37">
        <f>E347*100/D347</f>
        <v>111.15694879757693</v>
      </c>
      <c r="G347" s="5">
        <f t="shared" si="6"/>
        <v>18127.91</v>
      </c>
      <c r="H347" s="6">
        <v>8750.91</v>
      </c>
      <c r="I347" s="6">
        <f t="shared" si="7"/>
        <v>8750.91</v>
      </c>
      <c r="J347" s="6">
        <v>2991.33</v>
      </c>
      <c r="K347" s="6"/>
      <c r="L347" s="6"/>
      <c r="M347" s="6">
        <v>5759.58</v>
      </c>
      <c r="N347" s="9"/>
      <c r="O347" s="6">
        <v>9377</v>
      </c>
      <c r="P347" s="6">
        <v>34556.21</v>
      </c>
      <c r="Q347" s="47">
        <v>30567.75</v>
      </c>
    </row>
    <row r="348" spans="1:17" ht="12.75">
      <c r="A348" s="7"/>
      <c r="B348" s="7"/>
      <c r="C348" s="7"/>
      <c r="D348" s="6"/>
      <c r="E348" s="6"/>
      <c r="F348" s="37"/>
      <c r="G348" s="5"/>
      <c r="H348" s="6"/>
      <c r="I348" s="6"/>
      <c r="J348" s="6"/>
      <c r="K348" s="6"/>
      <c r="L348" s="6"/>
      <c r="M348" s="6"/>
      <c r="N348" s="9"/>
      <c r="O348" s="6"/>
      <c r="P348" s="6"/>
      <c r="Q348" s="73"/>
    </row>
    <row r="349" spans="1:17" ht="12.75">
      <c r="A349" s="7" t="s">
        <v>74</v>
      </c>
      <c r="B349" s="7">
        <v>2</v>
      </c>
      <c r="C349" s="7">
        <v>376.2</v>
      </c>
      <c r="D349" s="6">
        <v>33181.08</v>
      </c>
      <c r="E349" s="6">
        <v>36093.69</v>
      </c>
      <c r="F349" s="37">
        <f>E349*100/D349</f>
        <v>108.77792404587191</v>
      </c>
      <c r="G349" s="5">
        <f t="shared" si="6"/>
        <v>18056.7</v>
      </c>
      <c r="H349" s="6">
        <v>8711.7</v>
      </c>
      <c r="I349" s="6">
        <f t="shared" si="7"/>
        <v>8711.7</v>
      </c>
      <c r="J349" s="6">
        <v>2981</v>
      </c>
      <c r="K349" s="6"/>
      <c r="L349" s="6"/>
      <c r="M349" s="6">
        <v>5730.7</v>
      </c>
      <c r="N349" s="9"/>
      <c r="O349" s="6">
        <v>9345</v>
      </c>
      <c r="P349" s="6">
        <v>28734.64</v>
      </c>
      <c r="Q349" s="47">
        <v>25456.18</v>
      </c>
    </row>
    <row r="350" spans="1:17" ht="12.75">
      <c r="A350" s="84"/>
      <c r="B350" s="84"/>
      <c r="C350" s="84"/>
      <c r="D350" s="85"/>
      <c r="E350" s="85"/>
      <c r="F350" s="86"/>
      <c r="G350" s="48"/>
      <c r="H350" s="85"/>
      <c r="I350" s="85"/>
      <c r="J350" s="85"/>
      <c r="K350" s="85"/>
      <c r="L350" s="85"/>
      <c r="M350" s="85"/>
      <c r="N350" s="87"/>
      <c r="O350" s="85"/>
      <c r="P350" s="85"/>
      <c r="Q350" s="88"/>
    </row>
    <row r="351" spans="3:17" ht="12.75">
      <c r="C351" s="77">
        <f>SUM(C329:C349)</f>
        <v>17233.89</v>
      </c>
      <c r="D351" s="77">
        <f aca="true" t="shared" si="8" ref="D351:Q351">SUM(D329:D349)</f>
        <v>1745347.8</v>
      </c>
      <c r="E351" s="77">
        <f t="shared" si="8"/>
        <v>1761389.3799999997</v>
      </c>
      <c r="F351" s="77"/>
      <c r="G351" s="77">
        <f t="shared" si="8"/>
        <v>1369191.22</v>
      </c>
      <c r="H351" s="77">
        <f t="shared" si="8"/>
        <v>984930.26</v>
      </c>
      <c r="I351" s="77">
        <f t="shared" si="8"/>
        <v>984930.2200000001</v>
      </c>
      <c r="J351" s="77">
        <f t="shared" si="8"/>
        <v>129880.96999999999</v>
      </c>
      <c r="K351" s="77">
        <f t="shared" si="8"/>
        <v>6693.400000000001</v>
      </c>
      <c r="L351" s="77">
        <f t="shared" si="8"/>
        <v>13031.619999999999</v>
      </c>
      <c r="M351" s="77">
        <f t="shared" si="8"/>
        <v>835324.2299999999</v>
      </c>
      <c r="N351" s="77">
        <f t="shared" si="8"/>
        <v>0</v>
      </c>
      <c r="O351" s="77">
        <f t="shared" si="8"/>
        <v>384261</v>
      </c>
      <c r="P351" s="77">
        <f t="shared" si="8"/>
        <v>1320417.9999999998</v>
      </c>
      <c r="Q351" s="77">
        <f t="shared" si="8"/>
        <v>749933.1100000001</v>
      </c>
    </row>
    <row r="352" ht="12.75">
      <c r="A352" s="41" t="s">
        <v>80</v>
      </c>
    </row>
    <row r="353" spans="1:17" ht="12.75">
      <c r="A353" s="61" t="s">
        <v>5</v>
      </c>
      <c r="B353" s="62"/>
      <c r="C353" s="57" t="s">
        <v>54</v>
      </c>
      <c r="D353" s="57" t="s">
        <v>56</v>
      </c>
      <c r="E353" s="57" t="s">
        <v>15</v>
      </c>
      <c r="F353" s="57" t="s">
        <v>0</v>
      </c>
      <c r="G353" s="57" t="s">
        <v>58</v>
      </c>
      <c r="H353" s="57" t="s">
        <v>57</v>
      </c>
      <c r="I353" s="57" t="s">
        <v>66</v>
      </c>
      <c r="J353" s="55" t="s">
        <v>59</v>
      </c>
      <c r="K353" s="56"/>
      <c r="L353" s="56"/>
      <c r="M353" s="56"/>
      <c r="N353" s="56"/>
      <c r="O353" s="70"/>
      <c r="P353" s="53" t="s">
        <v>55</v>
      </c>
      <c r="Q353" s="54"/>
    </row>
    <row r="354" spans="1:17" ht="66">
      <c r="A354" s="68"/>
      <c r="B354" s="69"/>
      <c r="C354" s="65"/>
      <c r="D354" s="65"/>
      <c r="E354" s="65"/>
      <c r="F354" s="65"/>
      <c r="G354" s="65"/>
      <c r="H354" s="66"/>
      <c r="I354" s="66"/>
      <c r="J354" s="65" t="s">
        <v>61</v>
      </c>
      <c r="K354" s="65" t="s">
        <v>62</v>
      </c>
      <c r="L354" s="65" t="s">
        <v>60</v>
      </c>
      <c r="M354" s="65" t="s">
        <v>63</v>
      </c>
      <c r="N354" s="57" t="s">
        <v>64</v>
      </c>
      <c r="O354" s="57" t="s">
        <v>53</v>
      </c>
      <c r="P354" s="20" t="s">
        <v>50</v>
      </c>
      <c r="Q354" s="19" t="s">
        <v>4</v>
      </c>
    </row>
    <row r="355" spans="1:17" ht="26.25">
      <c r="A355" s="27" t="s">
        <v>6</v>
      </c>
      <c r="B355" s="27" t="s">
        <v>7</v>
      </c>
      <c r="C355" s="58"/>
      <c r="D355" s="58"/>
      <c r="E355" s="58"/>
      <c r="F355" s="58"/>
      <c r="G355" s="58"/>
      <c r="H355" s="67"/>
      <c r="I355" s="67"/>
      <c r="J355" s="58"/>
      <c r="K355" s="58"/>
      <c r="L355" s="58"/>
      <c r="M355" s="58"/>
      <c r="N355" s="58"/>
      <c r="O355" s="58"/>
      <c r="P355" s="22" t="s">
        <v>16</v>
      </c>
      <c r="Q355" s="21" t="s">
        <v>17</v>
      </c>
    </row>
    <row r="356" spans="1:17" ht="12.75">
      <c r="A356" s="33">
        <v>1</v>
      </c>
      <c r="B356" s="25">
        <v>2</v>
      </c>
      <c r="C356" s="25">
        <v>3</v>
      </c>
      <c r="D356" s="25">
        <v>4</v>
      </c>
      <c r="E356" s="25">
        <v>5</v>
      </c>
      <c r="F356" s="25">
        <v>6</v>
      </c>
      <c r="G356" s="25">
        <v>7</v>
      </c>
      <c r="H356" s="25"/>
      <c r="I356" s="25"/>
      <c r="J356" s="25">
        <v>8</v>
      </c>
      <c r="K356" s="25">
        <v>9</v>
      </c>
      <c r="L356" s="25">
        <v>10</v>
      </c>
      <c r="M356" s="25">
        <v>11</v>
      </c>
      <c r="N356" s="25">
        <v>12</v>
      </c>
      <c r="O356" s="25">
        <v>13</v>
      </c>
      <c r="P356" s="25">
        <v>14</v>
      </c>
      <c r="Q356" s="26">
        <v>15</v>
      </c>
    </row>
    <row r="357" spans="1:17" ht="12.75">
      <c r="A357" s="7" t="s">
        <v>79</v>
      </c>
      <c r="B357" s="7">
        <v>1</v>
      </c>
      <c r="C357" s="7">
        <v>705.3</v>
      </c>
      <c r="D357" s="6">
        <v>64582.02</v>
      </c>
      <c r="E357" s="6">
        <v>61170.63</v>
      </c>
      <c r="F357" s="37">
        <f>E357*100/D357</f>
        <v>94.71774032462906</v>
      </c>
      <c r="G357" s="5">
        <f>J357+K357+L357+M357+N357+O357</f>
        <v>63374.67</v>
      </c>
      <c r="H357" s="6">
        <f>51895.67</f>
        <v>51895.67</v>
      </c>
      <c r="I357" s="6">
        <f>SUM(J357:N357)</f>
        <v>51895.67</v>
      </c>
      <c r="J357" s="6">
        <v>7667.03</v>
      </c>
      <c r="K357" s="6"/>
      <c r="L357" s="6">
        <v>568.03</v>
      </c>
      <c r="M357" s="6">
        <v>43660.61</v>
      </c>
      <c r="N357" s="6"/>
      <c r="O357" s="6">
        <v>11479</v>
      </c>
      <c r="P357" s="13">
        <v>146187.77</v>
      </c>
      <c r="Q357" s="7">
        <v>88075.68</v>
      </c>
    </row>
    <row r="358" spans="1:17" ht="12.75">
      <c r="A358" s="7"/>
      <c r="B358" s="7"/>
      <c r="C358" s="7"/>
      <c r="D358" s="6"/>
      <c r="E358" s="6"/>
      <c r="F358" s="37"/>
      <c r="G358" s="5"/>
      <c r="H358" s="6"/>
      <c r="I358" s="6"/>
      <c r="J358" s="6"/>
      <c r="K358" s="6"/>
      <c r="L358" s="6"/>
      <c r="M358" s="6"/>
      <c r="N358" s="6"/>
      <c r="O358" s="6"/>
      <c r="P358" s="6"/>
      <c r="Q358" s="7"/>
    </row>
    <row r="359" spans="1:17" ht="12.75">
      <c r="A359" s="7" t="s">
        <v>79</v>
      </c>
      <c r="B359" s="7">
        <v>2</v>
      </c>
      <c r="C359" s="7">
        <v>716.3</v>
      </c>
      <c r="D359" s="6">
        <v>65762.03</v>
      </c>
      <c r="E359" s="6">
        <v>74823.73</v>
      </c>
      <c r="F359" s="37">
        <f>E359*100/D359</f>
        <v>113.7795320491171</v>
      </c>
      <c r="G359" s="5">
        <f aca="true" t="shared" si="9" ref="G359:G369">J359+K359+L359+M359+N359+O359</f>
        <v>49567.03</v>
      </c>
      <c r="H359" s="6">
        <v>37799.03</v>
      </c>
      <c r="I359" s="6">
        <f aca="true" t="shared" si="10" ref="I359:I369">SUM(J359:N359)</f>
        <v>37799.03</v>
      </c>
      <c r="J359" s="6">
        <v>7859.87</v>
      </c>
      <c r="K359" s="6"/>
      <c r="L359" s="6">
        <v>568.03</v>
      </c>
      <c r="M359" s="6">
        <v>29371.13</v>
      </c>
      <c r="N359" s="6"/>
      <c r="O359" s="6">
        <v>11768</v>
      </c>
      <c r="P359" s="6">
        <v>57680.11</v>
      </c>
      <c r="Q359" s="7">
        <v>25185.49</v>
      </c>
    </row>
    <row r="360" spans="1:17" ht="12.75">
      <c r="A360" s="7"/>
      <c r="B360" s="7"/>
      <c r="C360" s="7"/>
      <c r="D360" s="6"/>
      <c r="E360" s="6"/>
      <c r="F360" s="37"/>
      <c r="G360" s="5"/>
      <c r="H360" s="6"/>
      <c r="I360" s="6"/>
      <c r="J360" s="6"/>
      <c r="K360" s="6"/>
      <c r="L360" s="6"/>
      <c r="M360" s="6"/>
      <c r="N360" s="6"/>
      <c r="O360" s="6"/>
      <c r="Q360" s="7"/>
    </row>
    <row r="361" spans="1:17" ht="12.75">
      <c r="A361" s="7" t="s">
        <v>79</v>
      </c>
      <c r="B361" s="7">
        <v>3</v>
      </c>
      <c r="C361" s="7">
        <v>712.6</v>
      </c>
      <c r="D361" s="6">
        <v>65299.19</v>
      </c>
      <c r="E361" s="6">
        <v>71310.28</v>
      </c>
      <c r="F361" s="37">
        <f>E361*100/D361</f>
        <v>109.20545875071345</v>
      </c>
      <c r="G361" s="5">
        <f t="shared" si="9"/>
        <v>60027.79</v>
      </c>
      <c r="H361" s="6">
        <f>48420.79</f>
        <v>48420.79</v>
      </c>
      <c r="I361" s="6">
        <f t="shared" si="10"/>
        <v>48420.79</v>
      </c>
      <c r="J361" s="6">
        <v>7752.21</v>
      </c>
      <c r="K361" s="6"/>
      <c r="L361" s="6">
        <v>568.03</v>
      </c>
      <c r="M361" s="6">
        <v>40100.55</v>
      </c>
      <c r="N361" s="6"/>
      <c r="O361" s="6">
        <v>11607</v>
      </c>
      <c r="P361" s="13">
        <v>14803.22</v>
      </c>
      <c r="Q361" s="7">
        <v>5439.69</v>
      </c>
    </row>
    <row r="362" spans="1:17" ht="12.75">
      <c r="A362" s="7"/>
      <c r="B362" s="7"/>
      <c r="C362" s="7"/>
      <c r="D362" s="6"/>
      <c r="E362" s="6"/>
      <c r="F362" s="37"/>
      <c r="G362" s="5"/>
      <c r="H362" s="6"/>
      <c r="I362" s="6"/>
      <c r="J362" s="6"/>
      <c r="K362" s="6"/>
      <c r="L362" s="6"/>
      <c r="M362" s="6"/>
      <c r="N362" s="6"/>
      <c r="O362" s="6"/>
      <c r="P362" s="6"/>
      <c r="Q362" s="7"/>
    </row>
    <row r="363" spans="1:17" ht="12.75">
      <c r="A363" s="7" t="s">
        <v>79</v>
      </c>
      <c r="B363" s="7">
        <v>29</v>
      </c>
      <c r="C363" s="7">
        <v>834.9</v>
      </c>
      <c r="D363" s="6">
        <v>117115.78</v>
      </c>
      <c r="E363" s="6">
        <v>111094.6</v>
      </c>
      <c r="F363" s="37">
        <f>E363*100/D363</f>
        <v>94.85877991847042</v>
      </c>
      <c r="G363" s="5">
        <f t="shared" si="9"/>
        <v>74336.26000000001</v>
      </c>
      <c r="H363" s="6">
        <f>50740.26</f>
        <v>50740.26</v>
      </c>
      <c r="I363" s="6">
        <f t="shared" si="10"/>
        <v>50740.26</v>
      </c>
      <c r="J363" s="6">
        <v>9602.01</v>
      </c>
      <c r="K363" s="6"/>
      <c r="L363" s="6">
        <v>693.38</v>
      </c>
      <c r="M363" s="6">
        <v>40444.87</v>
      </c>
      <c r="N363" s="6"/>
      <c r="O363" s="6">
        <v>23596</v>
      </c>
      <c r="P363" s="13">
        <v>74587.97</v>
      </c>
      <c r="Q363" s="7">
        <v>27535.53</v>
      </c>
    </row>
    <row r="364" spans="1:17" ht="12.75">
      <c r="A364" s="7"/>
      <c r="B364" s="7"/>
      <c r="C364" s="7"/>
      <c r="D364" s="6"/>
      <c r="E364" s="6"/>
      <c r="F364" s="37"/>
      <c r="G364" s="5"/>
      <c r="H364" s="6"/>
      <c r="I364" s="6"/>
      <c r="J364" s="6"/>
      <c r="K364" s="6"/>
      <c r="L364" s="6"/>
      <c r="M364" s="6"/>
      <c r="N364" s="6"/>
      <c r="O364" s="6"/>
      <c r="P364" s="13"/>
      <c r="Q364" s="7"/>
    </row>
    <row r="365" spans="1:17" ht="12.75">
      <c r="A365" s="7" t="s">
        <v>79</v>
      </c>
      <c r="B365" s="7">
        <v>40</v>
      </c>
      <c r="C365" s="7">
        <v>2023</v>
      </c>
      <c r="D365" s="6">
        <v>246280.18</v>
      </c>
      <c r="E365" s="6">
        <v>247584.34</v>
      </c>
      <c r="F365" s="37">
        <f>E365*100/D365</f>
        <v>100.52954322187031</v>
      </c>
      <c r="G365" s="5">
        <f t="shared" si="9"/>
        <v>219860.21</v>
      </c>
      <c r="H365" s="6">
        <f>170822.21</f>
        <v>170822.21</v>
      </c>
      <c r="I365" s="6">
        <f t="shared" si="10"/>
        <v>170822.21</v>
      </c>
      <c r="J365" s="6">
        <v>21888.86</v>
      </c>
      <c r="K365" s="6">
        <v>1335.6</v>
      </c>
      <c r="L365" s="6">
        <v>1688.01</v>
      </c>
      <c r="M365" s="6">
        <v>145909.74</v>
      </c>
      <c r="N365" s="6"/>
      <c r="O365" s="6">
        <v>49038</v>
      </c>
      <c r="P365" s="13">
        <v>87114.56</v>
      </c>
      <c r="Q365" s="7">
        <v>9329.01</v>
      </c>
    </row>
    <row r="366" spans="1:17" ht="12.75">
      <c r="A366" s="7"/>
      <c r="B366" s="7"/>
      <c r="C366" s="7"/>
      <c r="D366" s="6"/>
      <c r="E366" s="6"/>
      <c r="F366" s="37"/>
      <c r="G366" s="5"/>
      <c r="H366" s="6"/>
      <c r="I366" s="6"/>
      <c r="J366" s="6"/>
      <c r="K366" s="6"/>
      <c r="L366" s="6"/>
      <c r="M366" s="6"/>
      <c r="N366" s="6"/>
      <c r="O366" s="6"/>
      <c r="P366" s="6"/>
      <c r="Q366" s="7"/>
    </row>
    <row r="367" spans="1:17" ht="12.75">
      <c r="A367" s="7" t="s">
        <v>78</v>
      </c>
      <c r="B367" s="30" t="s">
        <v>26</v>
      </c>
      <c r="C367" s="7">
        <v>840</v>
      </c>
      <c r="D367" s="6">
        <v>76557.73</v>
      </c>
      <c r="E367" s="6">
        <v>77242.37</v>
      </c>
      <c r="F367" s="37">
        <f>E367*100/D367</f>
        <v>100.89427938890039</v>
      </c>
      <c r="G367" s="5">
        <f t="shared" si="9"/>
        <v>123745.86</v>
      </c>
      <c r="H367" s="6">
        <v>110137.86</v>
      </c>
      <c r="I367" s="6">
        <f t="shared" si="10"/>
        <v>110137.86</v>
      </c>
      <c r="J367" s="6">
        <v>9088.8</v>
      </c>
      <c r="K367" s="6">
        <v>835.8</v>
      </c>
      <c r="L367" s="6">
        <v>735.16</v>
      </c>
      <c r="M367" s="6">
        <v>99478.1</v>
      </c>
      <c r="N367" s="6"/>
      <c r="O367" s="6">
        <v>13608</v>
      </c>
      <c r="P367" s="13">
        <v>52827.51</v>
      </c>
      <c r="Q367" s="7">
        <v>14041.69</v>
      </c>
    </row>
    <row r="368" spans="1:17" ht="12.75">
      <c r="A368" s="7"/>
      <c r="B368" s="30"/>
      <c r="C368" s="7"/>
      <c r="D368" s="6"/>
      <c r="E368" s="6"/>
      <c r="F368" s="37"/>
      <c r="G368" s="5"/>
      <c r="H368" s="6"/>
      <c r="I368" s="6"/>
      <c r="J368" s="6"/>
      <c r="K368" s="6"/>
      <c r="L368" s="6"/>
      <c r="M368" s="6"/>
      <c r="N368" s="6"/>
      <c r="O368" s="6"/>
      <c r="P368" s="13"/>
      <c r="Q368" s="7"/>
    </row>
    <row r="369" spans="1:17" ht="12.75">
      <c r="A369" s="7" t="s">
        <v>78</v>
      </c>
      <c r="B369" s="30" t="s">
        <v>22</v>
      </c>
      <c r="C369" s="7">
        <v>1978.9</v>
      </c>
      <c r="D369" s="6">
        <v>216370.75</v>
      </c>
      <c r="E369" s="6">
        <v>213300.84</v>
      </c>
      <c r="F369" s="37">
        <f>E369*100/D369</f>
        <v>98.5811806817696</v>
      </c>
      <c r="G369" s="5">
        <f t="shared" si="9"/>
        <v>188971.4</v>
      </c>
      <c r="H369" s="6">
        <f>141485.92</f>
        <v>141485.92</v>
      </c>
      <c r="I369" s="6">
        <f t="shared" si="10"/>
        <v>141485.4</v>
      </c>
      <c r="J369" s="6">
        <v>21407.37</v>
      </c>
      <c r="K369" s="6">
        <v>1201.2</v>
      </c>
      <c r="L369" s="6">
        <v>1445.46</v>
      </c>
      <c r="M369" s="6">
        <v>117431.37</v>
      </c>
      <c r="N369" s="6"/>
      <c r="O369" s="6">
        <v>47486</v>
      </c>
      <c r="P369" s="13">
        <v>148985.51</v>
      </c>
      <c r="Q369" s="7">
        <v>42906.62</v>
      </c>
    </row>
    <row r="371" spans="3:17" ht="12.75">
      <c r="C371" s="77">
        <f>SUM(C357:C369)</f>
        <v>7811</v>
      </c>
      <c r="D371" s="77">
        <f aca="true" t="shared" si="11" ref="D371:Q371">SUM(D357:D369)</f>
        <v>851967.6799999999</v>
      </c>
      <c r="E371" s="77">
        <f t="shared" si="11"/>
        <v>856526.7899999999</v>
      </c>
      <c r="F371" s="77"/>
      <c r="G371" s="77">
        <f t="shared" si="11"/>
        <v>779883.22</v>
      </c>
      <c r="H371" s="77">
        <f t="shared" si="11"/>
        <v>611301.74</v>
      </c>
      <c r="I371" s="77">
        <f t="shared" si="11"/>
        <v>611301.22</v>
      </c>
      <c r="J371" s="77">
        <f t="shared" si="11"/>
        <v>85266.15</v>
      </c>
      <c r="K371" s="77">
        <f t="shared" si="11"/>
        <v>3372.5999999999995</v>
      </c>
      <c r="L371" s="77">
        <f t="shared" si="11"/>
        <v>6266.099999999999</v>
      </c>
      <c r="M371" s="77">
        <f t="shared" si="11"/>
        <v>516396.37</v>
      </c>
      <c r="N371" s="77">
        <f t="shared" si="11"/>
        <v>0</v>
      </c>
      <c r="O371" s="77">
        <f t="shared" si="11"/>
        <v>168582</v>
      </c>
      <c r="P371" s="77">
        <f t="shared" si="11"/>
        <v>582186.65</v>
      </c>
      <c r="Q371" s="77">
        <f t="shared" si="11"/>
        <v>212513.71000000002</v>
      </c>
    </row>
    <row r="372" spans="3:17" ht="12.7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</row>
    <row r="373" spans="3:17" ht="12.75">
      <c r="C373" s="77"/>
      <c r="D373" s="77"/>
      <c r="E373" s="77"/>
      <c r="F373" s="77"/>
      <c r="G373" s="77"/>
      <c r="H373" s="77">
        <f>I373</f>
        <v>3683.4</v>
      </c>
      <c r="I373" s="6">
        <f>SUM(J373:N373)</f>
        <v>3683.4</v>
      </c>
      <c r="J373" s="77">
        <v>1203.46</v>
      </c>
      <c r="K373" s="77"/>
      <c r="L373" s="77">
        <v>284.02</v>
      </c>
      <c r="M373" s="77">
        <f>127+2068.92</f>
        <v>2195.92</v>
      </c>
      <c r="N373" s="77"/>
      <c r="O373" s="77"/>
      <c r="P373" s="77"/>
      <c r="Q373" s="77"/>
    </row>
    <row r="374" spans="3:17" ht="12.75">
      <c r="C374" s="77"/>
      <c r="D374" s="77"/>
      <c r="E374" s="77"/>
      <c r="F374" s="77"/>
      <c r="G374" s="77"/>
      <c r="H374" s="77">
        <f>I374</f>
        <v>46.98</v>
      </c>
      <c r="I374" s="6">
        <f>SUM(J374:N374)</f>
        <v>46.98</v>
      </c>
      <c r="J374" s="77"/>
      <c r="K374" s="77"/>
      <c r="L374" s="77"/>
      <c r="M374" s="77">
        <v>46.98</v>
      </c>
      <c r="N374" s="77"/>
      <c r="O374" s="77"/>
      <c r="P374" s="77"/>
      <c r="Q374" s="77"/>
    </row>
    <row r="375" ht="12.75">
      <c r="C375" s="77"/>
    </row>
    <row r="376" spans="1:17" ht="12.75">
      <c r="A376" t="s">
        <v>81</v>
      </c>
      <c r="C376" s="77">
        <f>C371+C351+C323+C307+C294+C373+C374</f>
        <v>180102.21000000002</v>
      </c>
      <c r="D376" s="77">
        <f aca="true" t="shared" si="12" ref="D376:M376">D371+D351+D323+D307+D294+D373+D374</f>
        <v>19096678.379999995</v>
      </c>
      <c r="E376" s="77">
        <f t="shared" si="12"/>
        <v>18763727.130000003</v>
      </c>
      <c r="F376" s="77">
        <f t="shared" si="12"/>
        <v>14125.43398768387</v>
      </c>
      <c r="G376" s="77">
        <f t="shared" si="12"/>
        <v>18234677.240000002</v>
      </c>
      <c r="H376" s="77">
        <f t="shared" si="12"/>
        <v>14152108.999999998</v>
      </c>
      <c r="I376" s="77">
        <f t="shared" si="12"/>
        <v>14152107.612340005</v>
      </c>
      <c r="J376" s="90">
        <f t="shared" si="12"/>
        <v>1464572.7400000007</v>
      </c>
      <c r="K376" s="90">
        <f t="shared" si="12"/>
        <v>71723.13999999998</v>
      </c>
      <c r="L376" s="90">
        <f t="shared" si="12"/>
        <v>137048.64000000004</v>
      </c>
      <c r="M376" s="77">
        <f t="shared" si="12"/>
        <v>12355445.092340004</v>
      </c>
      <c r="N376" s="90">
        <f>N371+N351+N323+N307+N294</f>
        <v>123318</v>
      </c>
      <c r="O376" s="77">
        <f>O371+O351+O323+O307+O294</f>
        <v>4086299.18</v>
      </c>
      <c r="P376" s="77">
        <f>P371+P351+P323+P307+P294</f>
        <v>11970489.619999988</v>
      </c>
      <c r="Q376" s="77">
        <f>Q371+Q351+Q323+Q307+Q294</f>
        <v>5076550.584000001</v>
      </c>
    </row>
    <row r="377" spans="9:10" ht="12.75">
      <c r="I377">
        <v>14152134.98</v>
      </c>
      <c r="J377">
        <f>J376/C376/12</f>
        <v>0.6776581383056509</v>
      </c>
    </row>
    <row r="378" spans="3:9" ht="12.75">
      <c r="C378" s="77"/>
      <c r="I378" s="77">
        <f>I376-I377</f>
        <v>-27.36765999533236</v>
      </c>
    </row>
  </sheetData>
  <mergeCells count="81">
    <mergeCell ref="J353:O353"/>
    <mergeCell ref="P353:Q353"/>
    <mergeCell ref="J354:J355"/>
    <mergeCell ref="K354:K355"/>
    <mergeCell ref="L354:L355"/>
    <mergeCell ref="M354:M355"/>
    <mergeCell ref="N354:N355"/>
    <mergeCell ref="O354:O355"/>
    <mergeCell ref="F353:F355"/>
    <mergeCell ref="G353:G355"/>
    <mergeCell ref="H353:H355"/>
    <mergeCell ref="I353:I355"/>
    <mergeCell ref="A353:B354"/>
    <mergeCell ref="C353:C355"/>
    <mergeCell ref="D353:D355"/>
    <mergeCell ref="E353:E355"/>
    <mergeCell ref="F4:F6"/>
    <mergeCell ref="H4:H6"/>
    <mergeCell ref="G4:G6"/>
    <mergeCell ref="J5:J6"/>
    <mergeCell ref="I4:I6"/>
    <mergeCell ref="K5:K6"/>
    <mergeCell ref="O5:O6"/>
    <mergeCell ref="J4:O4"/>
    <mergeCell ref="A1:Q1"/>
    <mergeCell ref="C4:C6"/>
    <mergeCell ref="D4:D6"/>
    <mergeCell ref="E4:E6"/>
    <mergeCell ref="L5:L6"/>
    <mergeCell ref="M5:M6"/>
    <mergeCell ref="N5:N6"/>
    <mergeCell ref="A4:B5"/>
    <mergeCell ref="P4:Q4"/>
    <mergeCell ref="A296:B297"/>
    <mergeCell ref="C296:C298"/>
    <mergeCell ref="D296:D298"/>
    <mergeCell ref="E296:E298"/>
    <mergeCell ref="F296:F298"/>
    <mergeCell ref="G296:G298"/>
    <mergeCell ref="H296:H298"/>
    <mergeCell ref="I296:I298"/>
    <mergeCell ref="J296:O296"/>
    <mergeCell ref="P296:Q296"/>
    <mergeCell ref="J297:J298"/>
    <mergeCell ref="K297:K298"/>
    <mergeCell ref="L297:L298"/>
    <mergeCell ref="M297:M298"/>
    <mergeCell ref="N297:N298"/>
    <mergeCell ref="O297:O298"/>
    <mergeCell ref="A309:B310"/>
    <mergeCell ref="C309:C311"/>
    <mergeCell ref="D309:D311"/>
    <mergeCell ref="E309:E311"/>
    <mergeCell ref="F309:F311"/>
    <mergeCell ref="G309:G311"/>
    <mergeCell ref="H309:H311"/>
    <mergeCell ref="I309:I311"/>
    <mergeCell ref="J309:O309"/>
    <mergeCell ref="P309:Q309"/>
    <mergeCell ref="J310:J311"/>
    <mergeCell ref="K310:K311"/>
    <mergeCell ref="L310:L311"/>
    <mergeCell ref="M310:M311"/>
    <mergeCell ref="N310:N311"/>
    <mergeCell ref="O310:O311"/>
    <mergeCell ref="A325:B326"/>
    <mergeCell ref="C325:C327"/>
    <mergeCell ref="D325:D327"/>
    <mergeCell ref="E325:E327"/>
    <mergeCell ref="F325:F327"/>
    <mergeCell ref="G325:G327"/>
    <mergeCell ref="H325:H327"/>
    <mergeCell ref="I325:I327"/>
    <mergeCell ref="J325:O325"/>
    <mergeCell ref="P325:Q325"/>
    <mergeCell ref="J326:J327"/>
    <mergeCell ref="K326:K327"/>
    <mergeCell ref="L326:L327"/>
    <mergeCell ref="M326:M327"/>
    <mergeCell ref="N326:N327"/>
    <mergeCell ref="O326:O327"/>
  </mergeCells>
  <printOptions/>
  <pageMargins left="0.37" right="0.27" top="0.48" bottom="0.51" header="0.5" footer="0.5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Жилкомцентр</dc:creator>
  <cp:keywords/>
  <dc:description/>
  <cp:lastModifiedBy>Жилкомцентр</cp:lastModifiedBy>
  <cp:lastPrinted>2012-04-29T07:36:44Z</cp:lastPrinted>
  <dcterms:created xsi:type="dcterms:W3CDTF">2011-03-21T12:29:04Z</dcterms:created>
  <dcterms:modified xsi:type="dcterms:W3CDTF">2012-04-29T07:36:47Z</dcterms:modified>
  <cp:category/>
  <cp:version/>
  <cp:contentType/>
  <cp:contentStatus/>
</cp:coreProperties>
</file>