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8" windowWidth="11232" windowHeight="6948" tabRatio="794" activeTab="0"/>
  </bookViews>
  <sheets>
    <sheet name="Обслуживание жилья" sheetId="1" r:id="rId1"/>
    <sheet name="Лист8" sheetId="2" r:id="rId2"/>
    <sheet name="Лист9" sheetId="3" r:id="rId3"/>
    <sheet name="Лист13" sheetId="4" r:id="rId4"/>
    <sheet name="Лист10" sheetId="5" r:id="rId5"/>
    <sheet name="Лист11" sheetId="6" r:id="rId6"/>
    <sheet name="Лист12" sheetId="7" r:id="rId7"/>
    <sheet name="Лист14" sheetId="8" r:id="rId8"/>
    <sheet name="Лист15" sheetId="9" r:id="rId9"/>
    <sheet name="Лист16" sheetId="10" r:id="rId10"/>
  </sheets>
  <definedNames/>
  <calcPr fullCalcOnLoad="1"/>
</workbook>
</file>

<file path=xl/sharedStrings.xml><?xml version="1.0" encoding="utf-8"?>
<sst xmlns="http://schemas.openxmlformats.org/spreadsheetml/2006/main" count="224" uniqueCount="131">
  <si>
    <t>ИТОГО</t>
  </si>
  <si>
    <t>СХПК Кадыкова</t>
  </si>
  <si>
    <t>Итого</t>
  </si>
  <si>
    <t>Водоканал Чебоксары</t>
  </si>
  <si>
    <t>АМП ЖКХ на ГВС</t>
  </si>
  <si>
    <t>МУП Водоканал</t>
  </si>
  <si>
    <t>МУП Жилкомхоз</t>
  </si>
  <si>
    <t>Ремонт работы всего</t>
  </si>
  <si>
    <t>в том числе</t>
  </si>
  <si>
    <t>а/трансп. ЧМП</t>
  </si>
  <si>
    <t xml:space="preserve">       Водстрой</t>
  </si>
  <si>
    <t>Сумма без НДС</t>
  </si>
  <si>
    <t>Сумма с НДС</t>
  </si>
  <si>
    <t>ЭОТ</t>
  </si>
  <si>
    <t>Исполнитель:</t>
  </si>
  <si>
    <t>Кадилова М.В.</t>
  </si>
  <si>
    <t>Эл. энергия Стар и К за водобашню</t>
  </si>
  <si>
    <t>Оплачено</t>
  </si>
  <si>
    <t>поставщику</t>
  </si>
  <si>
    <t xml:space="preserve">Предприятие </t>
  </si>
  <si>
    <t>Объем</t>
  </si>
  <si>
    <t>поставщик</t>
  </si>
  <si>
    <t>Предъявлено поставщиком</t>
  </si>
  <si>
    <t>оплачено</t>
  </si>
  <si>
    <t>Расчеты с населением</t>
  </si>
  <si>
    <t>начислено</t>
  </si>
  <si>
    <t>Субсидия</t>
  </si>
  <si>
    <t>Льготы</t>
  </si>
  <si>
    <t>куб.м.</t>
  </si>
  <si>
    <t>руб м 3</t>
  </si>
  <si>
    <t xml:space="preserve">                                                 Расчеты по ХВС за  1квартал  2004г</t>
  </si>
  <si>
    <t>Процент оплаты,%</t>
  </si>
  <si>
    <t>Всего</t>
  </si>
  <si>
    <t xml:space="preserve"> в тч Атлашево</t>
  </si>
  <si>
    <t xml:space="preserve">        Тренькасы</t>
  </si>
  <si>
    <t>МУП АЖКУ   ХВС</t>
  </si>
  <si>
    <t>Волжанка ХВС Сюктерка</t>
  </si>
  <si>
    <t>Волжские зори Сюктерка</t>
  </si>
  <si>
    <t>ПМК"Водстрой"Кугеси</t>
  </si>
  <si>
    <t>Чебагропромхимия Кугеси</t>
  </si>
  <si>
    <t xml:space="preserve"> в тч Курмыши фев-март</t>
  </si>
  <si>
    <t xml:space="preserve"> в тч Курмыши январь</t>
  </si>
  <si>
    <t xml:space="preserve">        Чиршкасы</t>
  </si>
  <si>
    <t xml:space="preserve">        Сюктерка</t>
  </si>
  <si>
    <t xml:space="preserve">         Кугеси</t>
  </si>
  <si>
    <t>%</t>
  </si>
  <si>
    <t>Абашево</t>
  </si>
  <si>
    <t>Кугеси</t>
  </si>
  <si>
    <t>Синъялы</t>
  </si>
  <si>
    <t>Сюктерка</t>
  </si>
  <si>
    <t>Сятракасы</t>
  </si>
  <si>
    <t>Чиршкасы</t>
  </si>
  <si>
    <t>Участки</t>
  </si>
  <si>
    <t>Затраты</t>
  </si>
  <si>
    <t>Январь</t>
  </si>
  <si>
    <t>Февраль</t>
  </si>
  <si>
    <t>Март</t>
  </si>
  <si>
    <t xml:space="preserve">   Поиск</t>
  </si>
  <si>
    <t>ТО газоборудов природ</t>
  </si>
  <si>
    <t>Апрель</t>
  </si>
  <si>
    <t>Май</t>
  </si>
  <si>
    <t>Июнь</t>
  </si>
  <si>
    <t>Июль</t>
  </si>
  <si>
    <t>сентябрь</t>
  </si>
  <si>
    <t>август</t>
  </si>
  <si>
    <t>октябрь</t>
  </si>
  <si>
    <t>ноябрь</t>
  </si>
  <si>
    <t>декабрь</t>
  </si>
  <si>
    <t>июль</t>
  </si>
  <si>
    <t>Дератизация</t>
  </si>
  <si>
    <t>ИТОГО подрядные работы</t>
  </si>
  <si>
    <t xml:space="preserve">   Хевеш</t>
  </si>
  <si>
    <t xml:space="preserve">   Сельский комфорт</t>
  </si>
  <si>
    <t>Итого подряд</t>
  </si>
  <si>
    <t>ТО ГО МЖД,всего</t>
  </si>
  <si>
    <t>Сануборка (вода ст)</t>
  </si>
  <si>
    <t>в тч Кугеси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</si>
  <si>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</si>
  <si>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ЖКС</t>
  </si>
  <si>
    <t xml:space="preserve">   ЖКЦ</t>
  </si>
  <si>
    <t>ТБО</t>
  </si>
  <si>
    <t>ОАО СКК Волжанка</t>
  </si>
  <si>
    <t>ОАО "Жилкомцентр" всего</t>
  </si>
  <si>
    <t xml:space="preserve"> в тч. Кугеси</t>
  </si>
  <si>
    <t xml:space="preserve">         В/Сюктерка</t>
  </si>
  <si>
    <t>ООО "Поиск" всего</t>
  </si>
  <si>
    <t xml:space="preserve">         Сятракасы</t>
  </si>
  <si>
    <t>ООО "ЖКС" Кугеси</t>
  </si>
  <si>
    <t>ООО "Хевеш" всего</t>
  </si>
  <si>
    <t xml:space="preserve"> в т.ч Кугеси</t>
  </si>
  <si>
    <t xml:space="preserve">         Чиршкасы </t>
  </si>
  <si>
    <t xml:space="preserve">         Синьялы</t>
  </si>
  <si>
    <t>Волжанка</t>
  </si>
  <si>
    <t>ООО Забота (вывоз ТБО)</t>
  </si>
  <si>
    <t>ООО УК"Сельский комфорт"Кугеси</t>
  </si>
  <si>
    <t>Затраты по управлению МКЖД</t>
  </si>
  <si>
    <t>Усл.Програм энергосбережения</t>
  </si>
  <si>
    <t>врезка</t>
  </si>
  <si>
    <t>проект</t>
  </si>
  <si>
    <t>КАПРЕМОНТ</t>
  </si>
  <si>
    <t>ООО Калита</t>
  </si>
  <si>
    <t>отопл 57а</t>
  </si>
  <si>
    <t>ООО Арка</t>
  </si>
  <si>
    <t>кровля В/з 1б</t>
  </si>
  <si>
    <t>балконы кв 7,10 Сов 57а</t>
  </si>
  <si>
    <t>усилен фундамента  сов56</t>
  </si>
  <si>
    <t>балконы кв 1,5,11,14 Перв 17</t>
  </si>
  <si>
    <t>зачет 76,5 Сюкт Гл3</t>
  </si>
  <si>
    <t>ООО К/сервис</t>
  </si>
  <si>
    <t>ООО Комфорт Сервис, всего</t>
  </si>
  <si>
    <t>прогр энергосбер</t>
  </si>
  <si>
    <t xml:space="preserve">Затрты на членство СРО </t>
  </si>
  <si>
    <t>Площадь обслуживания, кв.м.</t>
  </si>
  <si>
    <t>Выполнение проектных работ Кугеси</t>
  </si>
  <si>
    <t>Врезка подземн газопровода Кугеси</t>
  </si>
  <si>
    <t>ТО газового оборудования Всего</t>
  </si>
  <si>
    <t>Сануборка подъездов Сятракасы</t>
  </si>
  <si>
    <t>Дератизация Всего</t>
  </si>
  <si>
    <t>Возмещение ремонта кровли Сюктерка</t>
  </si>
  <si>
    <t>Подрядные предприятия</t>
  </si>
  <si>
    <t>Сумма выполненных работ (услуг) без НДС, руб.</t>
  </si>
  <si>
    <t>Сумма выполненных работ (услуг) с НДС, руб.</t>
  </si>
  <si>
    <t>Отопление Кугеси, Сов.57а</t>
  </si>
  <si>
    <t>Кровля Сюктерка В/Зори 1б</t>
  </si>
  <si>
    <t>Балконов Кугеси,Советская 57а (кв10, 7)</t>
  </si>
  <si>
    <t>Усиление фундамента Кугеси, Советск 56</t>
  </si>
  <si>
    <t>Балконов Кугеси,Первом17 (кв1,5 11.14)</t>
  </si>
  <si>
    <t xml:space="preserve">ООО Арка </t>
  </si>
  <si>
    <t>Затраты на капитальный ремонт (в части софинансирования собственников-население)</t>
  </si>
  <si>
    <t xml:space="preserve"> Затраты по управлению и обслуживанию  МКД за  2010г.</t>
  </si>
  <si>
    <t>ВСЕГО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</si>
</sst>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"/>
    <numFmt numFmtId="171" formatCode="0.000000000"/>
    <numFmt numFmtId="172" formatCode="0.0000000000"/>
    <numFmt numFmtId="173" formatCode="0.00000000000"/>
    <numFmt numFmtId="174" formatCode="_-* #,##0.0_р_._-;\-* #,##0.0_р_._-;_-* &quot;-&quot;??_р_._-;_-@_-"/>
    <numFmt numFmtId="175" formatCode="_-* #,##0_р_._-;\-* #,##0_р_._-;_-* &quot;-&quot;??_р_.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i/>
      <sz val="8"/>
      <name val="Arial Cyr"/>
      <family val="0"/>
    </font>
    <font>
      <sz val="7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Border="1" applyAlignment="1">
      <alignment/>
    </xf>
    <xf numFmtId="2" fontId="9" fillId="0" borderId="2" xfId="0" applyNumberFormat="1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6" xfId="0" applyFont="1" applyFill="1" applyBorder="1" applyAlignment="1">
      <alignment/>
    </xf>
    <xf numFmtId="2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9" fillId="0" borderId="7" xfId="0" applyFont="1" applyBorder="1" applyAlignment="1">
      <alignment horizontal="center"/>
    </xf>
    <xf numFmtId="2" fontId="0" fillId="0" borderId="2" xfId="0" applyNumberFormat="1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" xfId="0" applyFont="1" applyBorder="1" applyAlignment="1">
      <alignment/>
    </xf>
    <xf numFmtId="0" fontId="9" fillId="0" borderId="11" xfId="0" applyFont="1" applyBorder="1" applyAlignment="1">
      <alignment/>
    </xf>
    <xf numFmtId="2" fontId="0" fillId="0" borderId="2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2" fontId="10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1" fontId="9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9" fillId="0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9" fillId="0" borderId="2" xfId="0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2" fontId="3" fillId="0" borderId="2" xfId="0" applyNumberFormat="1" applyFont="1" applyBorder="1" applyAlignment="1">
      <alignment/>
    </xf>
    <xf numFmtId="0" fontId="9" fillId="0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  <xf numFmtId="2" fontId="1" fillId="0" borderId="2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2" fontId="10" fillId="0" borderId="0" xfId="0" applyNumberFormat="1" applyFont="1" applyBorder="1" applyAlignment="1">
      <alignment/>
    </xf>
    <xf numFmtId="2" fontId="0" fillId="3" borderId="2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/>
    </xf>
    <xf numFmtId="1" fontId="0" fillId="0" borderId="0" xfId="0" applyNumberFormat="1" applyAlignment="1">
      <alignment/>
    </xf>
    <xf numFmtId="1" fontId="9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2" fontId="9" fillId="0" borderId="2" xfId="0" applyNumberFormat="1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0" fillId="2" borderId="2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2" fontId="0" fillId="2" borderId="2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2" fontId="9" fillId="0" borderId="22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" fontId="1" fillId="0" borderId="24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25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0" borderId="27" xfId="0" applyFont="1" applyFill="1" applyBorder="1" applyAlignment="1">
      <alignment/>
    </xf>
    <xf numFmtId="1" fontId="1" fillId="0" borderId="25" xfId="0" applyNumberFormat="1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" xfId="0" applyFont="1" applyFill="1" applyBorder="1" applyAlignment="1">
      <alignment/>
    </xf>
    <xf numFmtId="1" fontId="1" fillId="4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workbookViewId="0" topLeftCell="A25">
      <selection activeCell="D42" sqref="D42"/>
    </sheetView>
  </sheetViews>
  <sheetFormatPr defaultColWidth="9.00390625" defaultRowHeight="12.75"/>
  <cols>
    <col min="1" max="1" width="31.875" style="0" customWidth="1"/>
    <col min="2" max="2" width="16.25390625" style="0" customWidth="1"/>
    <col min="3" max="3" width="20.25390625" style="0" customWidth="1"/>
    <col min="4" max="4" width="19.75390625" style="0" customWidth="1"/>
    <col min="5" max="5" width="11.50390625" style="0" bestFit="1" customWidth="1"/>
    <col min="6" max="6" width="13.875" style="0" hidden="1" customWidth="1"/>
    <col min="7" max="7" width="9.00390625" style="0" hidden="1" customWidth="1"/>
    <col min="8" max="8" width="9.625" style="0" hidden="1" customWidth="1"/>
    <col min="9" max="9" width="7.75390625" style="0" hidden="1" customWidth="1"/>
    <col min="10" max="10" width="9.00390625" style="0" hidden="1" customWidth="1"/>
    <col min="11" max="11" width="9.50390625" style="0" hidden="1" customWidth="1"/>
    <col min="12" max="13" width="8.625" style="0" hidden="1" customWidth="1"/>
    <col min="14" max="14" width="8.375" style="0" hidden="1" customWidth="1"/>
    <col min="15" max="15" width="8.50390625" style="0" hidden="1" customWidth="1"/>
    <col min="16" max="16" width="9.00390625" style="0" hidden="1" customWidth="1"/>
    <col min="17" max="18" width="9.125" style="0" hidden="1" customWidth="1"/>
    <col min="19" max="19" width="10.00390625" style="0" hidden="1" customWidth="1"/>
    <col min="20" max="20" width="13.75390625" style="0" hidden="1" customWidth="1"/>
    <col min="23" max="23" width="39.00390625" style="0" customWidth="1"/>
    <col min="24" max="24" width="14.375" style="0" customWidth="1"/>
    <col min="25" max="25" width="13.625" style="0" customWidth="1"/>
  </cols>
  <sheetData>
    <row r="1" spans="1:20" ht="17.25" customHeight="1">
      <c r="A1" s="159" t="s">
        <v>129</v>
      </c>
      <c r="B1" s="159"/>
      <c r="C1" s="159"/>
      <c r="D1" s="159"/>
      <c r="E1" s="9"/>
      <c r="F1" s="52"/>
      <c r="G1" s="52"/>
      <c r="H1" s="29"/>
      <c r="I1" s="29"/>
      <c r="J1" s="29"/>
      <c r="K1" s="29"/>
      <c r="L1" s="29"/>
      <c r="M1" s="30"/>
      <c r="N1" s="30"/>
      <c r="O1" s="30"/>
      <c r="P1" s="30"/>
      <c r="Q1" s="30"/>
      <c r="R1" s="30"/>
      <c r="S1" s="30"/>
      <c r="T1" s="30"/>
    </row>
    <row r="2" spans="1:26" ht="15">
      <c r="A2" s="90"/>
      <c r="B2" s="90"/>
      <c r="C2" s="90"/>
      <c r="D2" s="10"/>
      <c r="E2" s="10"/>
      <c r="F2" s="50" t="s">
        <v>52</v>
      </c>
      <c r="G2" s="154" t="s">
        <v>53</v>
      </c>
      <c r="H2" s="155"/>
      <c r="I2" s="155"/>
      <c r="J2" s="155"/>
      <c r="K2" s="155"/>
      <c r="L2" s="156"/>
      <c r="M2" s="60"/>
      <c r="N2" s="61"/>
      <c r="O2" s="61"/>
      <c r="P2" s="61"/>
      <c r="Q2" s="61"/>
      <c r="R2" s="61"/>
      <c r="S2" s="61"/>
      <c r="T2" s="38" t="s">
        <v>52</v>
      </c>
      <c r="V2" s="2"/>
      <c r="W2" s="9"/>
      <c r="X2" s="27"/>
      <c r="Y2" s="28"/>
      <c r="Z2" s="2"/>
    </row>
    <row r="3" spans="1:26" ht="15">
      <c r="A3" s="161" t="s">
        <v>119</v>
      </c>
      <c r="B3" s="163" t="s">
        <v>112</v>
      </c>
      <c r="C3" s="163" t="s">
        <v>120</v>
      </c>
      <c r="D3" s="163" t="s">
        <v>121</v>
      </c>
      <c r="E3" s="11"/>
      <c r="F3" s="39"/>
      <c r="G3" s="55" t="s">
        <v>54</v>
      </c>
      <c r="H3" s="55" t="s">
        <v>55</v>
      </c>
      <c r="I3" s="55" t="s">
        <v>56</v>
      </c>
      <c r="J3" s="39" t="s">
        <v>59</v>
      </c>
      <c r="K3" s="39" t="s">
        <v>60</v>
      </c>
      <c r="L3" s="39" t="s">
        <v>61</v>
      </c>
      <c r="M3" s="44" t="s">
        <v>62</v>
      </c>
      <c r="N3" s="44" t="s">
        <v>64</v>
      </c>
      <c r="O3" s="44" t="s">
        <v>63</v>
      </c>
      <c r="P3" s="44" t="s">
        <v>65</v>
      </c>
      <c r="Q3" s="44" t="s">
        <v>66</v>
      </c>
      <c r="R3" s="44" t="s">
        <v>67</v>
      </c>
      <c r="S3" s="64" t="s">
        <v>73</v>
      </c>
      <c r="T3" s="39"/>
      <c r="V3" s="2"/>
      <c r="W3" s="3"/>
      <c r="X3" s="3"/>
      <c r="Y3" s="3"/>
      <c r="Z3" s="2"/>
    </row>
    <row r="4" spans="1:26" ht="24.75" customHeight="1">
      <c r="A4" s="162"/>
      <c r="B4" s="164"/>
      <c r="C4" s="164"/>
      <c r="D4" s="164"/>
      <c r="E4" s="11"/>
      <c r="F4" s="39"/>
      <c r="G4" s="55"/>
      <c r="H4" s="55"/>
      <c r="I4" s="55"/>
      <c r="J4" s="49"/>
      <c r="K4" s="49"/>
      <c r="L4" s="49"/>
      <c r="M4" s="40"/>
      <c r="N4" s="40"/>
      <c r="O4" s="40"/>
      <c r="P4" s="40"/>
      <c r="Q4" s="40"/>
      <c r="R4" s="40"/>
      <c r="S4" s="26"/>
      <c r="T4" s="39"/>
      <c r="V4" s="2"/>
      <c r="W4" s="12"/>
      <c r="X4" s="66"/>
      <c r="Y4" s="12"/>
      <c r="Z4" s="2"/>
    </row>
    <row r="5" spans="1:26" ht="24.75" customHeight="1">
      <c r="A5" s="21" t="s">
        <v>82</v>
      </c>
      <c r="B5" s="91">
        <f>B6+B7</f>
        <v>16294.073333333334</v>
      </c>
      <c r="C5" s="91">
        <f>C6+C7</f>
        <v>512860.46</v>
      </c>
      <c r="D5" s="113">
        <f>C5*1.18</f>
        <v>605175.3428</v>
      </c>
      <c r="E5" s="11"/>
      <c r="F5" s="42" t="s">
        <v>46</v>
      </c>
      <c r="G5" s="40"/>
      <c r="H5" s="88"/>
      <c r="I5" s="40"/>
      <c r="J5" s="40"/>
      <c r="K5" s="40"/>
      <c r="L5" s="40"/>
      <c r="M5" s="40"/>
      <c r="N5" s="40"/>
      <c r="O5" s="40"/>
      <c r="P5" s="34"/>
      <c r="Q5" s="34"/>
      <c r="R5" s="40"/>
      <c r="S5" s="26"/>
      <c r="T5" s="42" t="s">
        <v>46</v>
      </c>
      <c r="V5" s="2"/>
      <c r="W5" s="12"/>
      <c r="X5" s="66"/>
      <c r="Y5" s="12"/>
      <c r="Z5" s="2"/>
    </row>
    <row r="6" spans="1:26" ht="12.75">
      <c r="A6" s="17" t="s">
        <v>83</v>
      </c>
      <c r="B6" s="62">
        <f>22903.41/12*8</f>
        <v>15268.94</v>
      </c>
      <c r="C6" s="17">
        <f>S14</f>
        <v>496029.97000000003</v>
      </c>
      <c r="D6" s="89">
        <f>C6*1.18</f>
        <v>585315.3646</v>
      </c>
      <c r="E6" s="10"/>
      <c r="F6" s="43" t="s">
        <v>49</v>
      </c>
      <c r="G6" s="31">
        <f>G7+G8</f>
        <v>36646.04</v>
      </c>
      <c r="H6" s="31">
        <f aca="true" t="shared" si="0" ref="H6:O6">H7+H8</f>
        <v>36023.27</v>
      </c>
      <c r="I6" s="31">
        <f t="shared" si="0"/>
        <v>37081.78999999999</v>
      </c>
      <c r="J6" s="31">
        <f t="shared" si="0"/>
        <v>35920.437796610175</v>
      </c>
      <c r="K6" s="31">
        <f t="shared" si="0"/>
        <v>37004.22</v>
      </c>
      <c r="L6" s="31">
        <f t="shared" si="0"/>
        <v>36012.77</v>
      </c>
      <c r="M6" s="31">
        <f t="shared" si="0"/>
        <v>1507.5300000000002</v>
      </c>
      <c r="N6" s="31">
        <f t="shared" si="0"/>
        <v>177536.08</v>
      </c>
      <c r="O6" s="31">
        <f t="shared" si="0"/>
        <v>0</v>
      </c>
      <c r="P6" s="31">
        <f>P7+P8+P9</f>
        <v>241621.46</v>
      </c>
      <c r="Q6" s="31">
        <f>Q7+Q8+Q9</f>
        <v>128216.08</v>
      </c>
      <c r="R6" s="31">
        <f>R7+R8+R9</f>
        <v>72043.72</v>
      </c>
      <c r="S6" s="65">
        <f>S7+S8+S9</f>
        <v>839613.3977966103</v>
      </c>
      <c r="T6" s="43" t="s">
        <v>49</v>
      </c>
      <c r="V6" s="2"/>
      <c r="W6" s="10"/>
      <c r="X6" s="67"/>
      <c r="Y6" s="68"/>
      <c r="Z6" s="2"/>
    </row>
    <row r="7" spans="1:26" ht="12.75">
      <c r="A7" s="17" t="s">
        <v>84</v>
      </c>
      <c r="B7" s="62">
        <f>1537.7/12*8</f>
        <v>1025.1333333333334</v>
      </c>
      <c r="C7" s="17">
        <f>S7</f>
        <v>16830.49</v>
      </c>
      <c r="D7" s="89">
        <f>C7*1.18</f>
        <v>19859.9782</v>
      </c>
      <c r="E7" s="10"/>
      <c r="F7" s="92" t="s">
        <v>79</v>
      </c>
      <c r="G7" s="32">
        <v>2096.14</v>
      </c>
      <c r="H7" s="32">
        <v>2166.32</v>
      </c>
      <c r="I7" s="32">
        <f>855.53+528.2+569.8</f>
        <v>1953.53</v>
      </c>
      <c r="J7" s="32">
        <v>2676.87</v>
      </c>
      <c r="K7" s="32">
        <f>925.08+521.86+592.89</f>
        <v>2039.83</v>
      </c>
      <c r="L7" s="32">
        <f>905.4+274.42+311.49</f>
        <v>1491.31</v>
      </c>
      <c r="M7" s="32">
        <f>915.24+277.41+314.88</f>
        <v>1507.5300000000002</v>
      </c>
      <c r="N7" s="17">
        <f>984.13+298.29+1616.54</f>
        <v>2898.96</v>
      </c>
      <c r="O7" s="17"/>
      <c r="P7" s="32"/>
      <c r="Q7" s="32"/>
      <c r="R7" s="17"/>
      <c r="S7" s="26">
        <f aca="true" t="shared" si="1" ref="S7:S24">SUM(G7:R7)</f>
        <v>16830.49</v>
      </c>
      <c r="T7" s="92" t="s">
        <v>79</v>
      </c>
      <c r="V7" s="2"/>
      <c r="W7" s="10"/>
      <c r="X7" s="67"/>
      <c r="Y7" s="68"/>
      <c r="Z7" s="2"/>
    </row>
    <row r="8" spans="1:26" ht="12.75">
      <c r="A8" s="6" t="s">
        <v>85</v>
      </c>
      <c r="B8" s="91">
        <f>B9+B10</f>
        <v>52396.130000000005</v>
      </c>
      <c r="C8" s="91">
        <f>C9+C10</f>
        <v>2235871.0199999996</v>
      </c>
      <c r="D8" s="113">
        <f aca="true" t="shared" si="2" ref="D8:D19">C8</f>
        <v>2235871.0199999996</v>
      </c>
      <c r="E8" s="10"/>
      <c r="F8" s="40" t="s">
        <v>92</v>
      </c>
      <c r="G8" s="32">
        <v>34549.9</v>
      </c>
      <c r="H8" s="32">
        <v>33856.95</v>
      </c>
      <c r="I8" s="32">
        <f>41451.34-6323.08</f>
        <v>35128.259999999995</v>
      </c>
      <c r="J8" s="32">
        <f>39227.41/1.18</f>
        <v>33243.56779661017</v>
      </c>
      <c r="K8" s="32">
        <f>41257.99-6293.6</f>
        <v>34964.39</v>
      </c>
      <c r="L8" s="32">
        <f>40735.32-6213.86</f>
        <v>34521.46</v>
      </c>
      <c r="M8" s="17"/>
      <c r="N8" s="32">
        <f>34627.47+140009.65</f>
        <v>174637.12</v>
      </c>
      <c r="O8" s="17"/>
      <c r="P8" s="32">
        <f>97853.99-14926.87+182244.24-27799.96</f>
        <v>237371.4</v>
      </c>
      <c r="Q8" s="32">
        <f>148787.44-22696.39</f>
        <v>126091.05</v>
      </c>
      <c r="R8" s="17">
        <f>82504.05-12585.36</f>
        <v>69918.69</v>
      </c>
      <c r="S8" s="26">
        <f t="shared" si="1"/>
        <v>814282.7877966103</v>
      </c>
      <c r="T8" s="40" t="s">
        <v>92</v>
      </c>
      <c r="V8" s="2"/>
      <c r="W8" s="68"/>
      <c r="X8" s="69"/>
      <c r="Y8" s="68"/>
      <c r="Z8" s="2"/>
    </row>
    <row r="9" spans="1:26" ht="12.75">
      <c r="A9" s="24" t="s">
        <v>83</v>
      </c>
      <c r="B9" s="62">
        <f>(28020.55+20468.33)</f>
        <v>48488.880000000005</v>
      </c>
      <c r="C9" s="17">
        <f>S13</f>
        <v>2012810.2999999998</v>
      </c>
      <c r="D9" s="89">
        <f t="shared" si="2"/>
        <v>2012810.2999999998</v>
      </c>
      <c r="E9" s="10"/>
      <c r="F9" s="40" t="s">
        <v>108</v>
      </c>
      <c r="G9" s="32"/>
      <c r="H9" s="32"/>
      <c r="I9" s="32"/>
      <c r="J9" s="32"/>
      <c r="K9" s="32"/>
      <c r="L9" s="32"/>
      <c r="M9" s="17"/>
      <c r="N9" s="32"/>
      <c r="O9" s="17"/>
      <c r="P9" s="32">
        <f>1292.16+426.57+406.3+406.3+426.57+1292.16</f>
        <v>4250.06</v>
      </c>
      <c r="Q9" s="32">
        <v>2125.03</v>
      </c>
      <c r="R9" s="17">
        <f>1292.16+426.57+406.3</f>
        <v>2125.03</v>
      </c>
      <c r="S9" s="26">
        <f t="shared" si="1"/>
        <v>8500.12</v>
      </c>
      <c r="T9" s="40" t="s">
        <v>108</v>
      </c>
      <c r="V9" s="2"/>
      <c r="W9" s="68"/>
      <c r="X9" s="69"/>
      <c r="Y9" s="68"/>
      <c r="Z9" s="2"/>
    </row>
    <row r="10" spans="1:26" ht="12.75">
      <c r="A10" s="24" t="s">
        <v>86</v>
      </c>
      <c r="B10" s="51">
        <v>3907.25</v>
      </c>
      <c r="C10" s="17">
        <f>S10</f>
        <v>223060.71999999997</v>
      </c>
      <c r="D10" s="89">
        <f t="shared" si="2"/>
        <v>223060.71999999997</v>
      </c>
      <c r="E10" s="10"/>
      <c r="F10" s="43" t="s">
        <v>50</v>
      </c>
      <c r="G10" s="32">
        <v>8511.8</v>
      </c>
      <c r="H10" s="40">
        <v>8511.8</v>
      </c>
      <c r="I10" s="40">
        <v>8511.8</v>
      </c>
      <c r="J10" s="31">
        <f>2880.9+6584.13+2855.92</f>
        <v>12320.95</v>
      </c>
      <c r="K10" s="40">
        <f>2880.9+2847.13+2855.91</f>
        <v>8583.94</v>
      </c>
      <c r="L10" s="40">
        <v>8894.99</v>
      </c>
      <c r="M10" s="40">
        <f>3101.73+3067.73+3076.82</f>
        <v>9246.28</v>
      </c>
      <c r="N10" s="40">
        <f>3101.73+3067.73+3076.82</f>
        <v>9246.28</v>
      </c>
      <c r="O10" s="40">
        <f>41633.81+42618.44+42628.65</f>
        <v>126880.9</v>
      </c>
      <c r="P10" s="34">
        <f>3056.95+3058.35+3030.35</f>
        <v>9145.65</v>
      </c>
      <c r="Q10" s="32">
        <f>2994.13+2994.8+2967.37</f>
        <v>8956.3</v>
      </c>
      <c r="R10" s="40">
        <f>991.05+2226.1+1032.88</f>
        <v>4250.03</v>
      </c>
      <c r="S10" s="65">
        <f t="shared" si="1"/>
        <v>223060.71999999997</v>
      </c>
      <c r="T10" s="43" t="s">
        <v>50</v>
      </c>
      <c r="V10" s="2"/>
      <c r="W10" s="25"/>
      <c r="X10" s="69"/>
      <c r="Y10" s="69"/>
      <c r="Z10" s="2"/>
    </row>
    <row r="11" spans="1:26" ht="12.75">
      <c r="A11" s="6" t="s">
        <v>87</v>
      </c>
      <c r="B11" s="91">
        <v>63117.41</v>
      </c>
      <c r="C11" s="91">
        <f>S12</f>
        <v>3101156.7299999995</v>
      </c>
      <c r="D11" s="113">
        <f t="shared" si="2"/>
        <v>3101156.7299999995</v>
      </c>
      <c r="E11" s="10"/>
      <c r="F11" s="43" t="s">
        <v>47</v>
      </c>
      <c r="G11" s="31">
        <f>G12+G13+G14+G15+G16</f>
        <v>382138.37</v>
      </c>
      <c r="H11" s="31">
        <f>H12+H13+H14+H15+H16+H17</f>
        <v>261889.68000000002</v>
      </c>
      <c r="I11" s="31">
        <f>I12+I13+I14+I15+I16+I17</f>
        <v>682834.9099999999</v>
      </c>
      <c r="J11" s="31">
        <f>J12+J13+J14+J15+J16+J17</f>
        <v>375985.31</v>
      </c>
      <c r="K11" s="31">
        <f aca="true" t="shared" si="3" ref="K11:R11">K12+K13+K14+K15+K16+K17</f>
        <v>616355.47</v>
      </c>
      <c r="L11" s="31">
        <f t="shared" si="3"/>
        <v>407386.58</v>
      </c>
      <c r="M11" s="31">
        <f t="shared" si="3"/>
        <v>560318.4</v>
      </c>
      <c r="N11" s="31">
        <f t="shared" si="3"/>
        <v>768994.9700000001</v>
      </c>
      <c r="O11" s="31">
        <f t="shared" si="3"/>
        <v>446564.85</v>
      </c>
      <c r="P11" s="31">
        <f t="shared" si="3"/>
        <v>524203.19</v>
      </c>
      <c r="Q11" s="31">
        <f t="shared" si="3"/>
        <v>459560.79</v>
      </c>
      <c r="R11" s="31">
        <f t="shared" si="3"/>
        <v>1165172.66</v>
      </c>
      <c r="S11" s="65">
        <f>S12+S13+S14+S15+S16+S17</f>
        <v>6651405.18</v>
      </c>
      <c r="T11" s="43" t="s">
        <v>47</v>
      </c>
      <c r="V11" s="2"/>
      <c r="W11" s="25"/>
      <c r="X11" s="69"/>
      <c r="Y11" s="69"/>
      <c r="Z11" s="2"/>
    </row>
    <row r="12" spans="1:26" ht="12.75">
      <c r="A12" s="6" t="s">
        <v>88</v>
      </c>
      <c r="B12" s="91">
        <f>B13+B14+B15</f>
        <v>16597.050000000003</v>
      </c>
      <c r="C12" s="91">
        <f>C13+C14+C15</f>
        <v>1012582.87</v>
      </c>
      <c r="D12" s="113">
        <f t="shared" si="2"/>
        <v>1012582.87</v>
      </c>
      <c r="E12" s="10"/>
      <c r="F12" s="41" t="s">
        <v>78</v>
      </c>
      <c r="G12" s="33">
        <v>172214.92</v>
      </c>
      <c r="H12" s="41">
        <v>0</v>
      </c>
      <c r="I12" s="41">
        <f>163513.49+244538.94</f>
        <v>408052.43</v>
      </c>
      <c r="J12" s="32">
        <v>150391.54</v>
      </c>
      <c r="K12" s="40">
        <v>341429.2</v>
      </c>
      <c r="L12" s="40">
        <v>152706.15</v>
      </c>
      <c r="M12" s="40">
        <v>257639.87</v>
      </c>
      <c r="N12" s="40">
        <v>461914.2</v>
      </c>
      <c r="O12" s="40">
        <v>209941.56</v>
      </c>
      <c r="P12" s="34">
        <v>144393.45</v>
      </c>
      <c r="Q12" s="32">
        <v>183345.69</v>
      </c>
      <c r="R12" s="40">
        <v>619127.72</v>
      </c>
      <c r="S12" s="26">
        <f t="shared" si="1"/>
        <v>3101156.7299999995</v>
      </c>
      <c r="T12" s="41" t="s">
        <v>78</v>
      </c>
      <c r="V12" s="2"/>
      <c r="W12" s="2"/>
      <c r="X12" s="69"/>
      <c r="Y12" s="70"/>
      <c r="Z12" s="2"/>
    </row>
    <row r="13" spans="1:26" ht="12.75">
      <c r="A13" s="24" t="s">
        <v>89</v>
      </c>
      <c r="B13" s="51">
        <v>4860.31</v>
      </c>
      <c r="C13" s="17">
        <f>S15</f>
        <v>377121.04</v>
      </c>
      <c r="D13" s="89">
        <f t="shared" si="2"/>
        <v>377121.04</v>
      </c>
      <c r="E13" s="10"/>
      <c r="F13" s="41" t="s">
        <v>57</v>
      </c>
      <c r="G13" s="32">
        <f>74249.78+52327.53</f>
        <v>126577.31</v>
      </c>
      <c r="H13" s="40">
        <f>130380.87+53302.6</f>
        <v>183683.47</v>
      </c>
      <c r="I13" s="40">
        <f>128139.76</f>
        <v>128139.76</v>
      </c>
      <c r="J13" s="32">
        <f>164846.67-J10</f>
        <v>152525.72</v>
      </c>
      <c r="K13" s="40">
        <f>157264.89-K10</f>
        <v>148680.95</v>
      </c>
      <c r="L13" s="40">
        <f>158791.11-L10</f>
        <v>149896.12</v>
      </c>
      <c r="M13" s="40">
        <f>210465.06-M10</f>
        <v>201218.78</v>
      </c>
      <c r="N13" s="40">
        <f>172532.72-N10</f>
        <v>163286.44</v>
      </c>
      <c r="O13" s="40">
        <f>288300.09-O10</f>
        <v>161419.19000000003</v>
      </c>
      <c r="P13" s="34">
        <f>204928.25-P10</f>
        <v>195782.6</v>
      </c>
      <c r="Q13" s="32">
        <f>163007.3-Q10</f>
        <v>154051</v>
      </c>
      <c r="R13" s="32">
        <f>251798.99-R10</f>
        <v>247548.96</v>
      </c>
      <c r="S13" s="26">
        <f t="shared" si="1"/>
        <v>2012810.2999999998</v>
      </c>
      <c r="T13" s="41" t="s">
        <v>57</v>
      </c>
      <c r="V13" s="2"/>
      <c r="W13" s="2"/>
      <c r="X13" s="67"/>
      <c r="Y13" s="68"/>
      <c r="Z13" s="2"/>
    </row>
    <row r="14" spans="1:26" ht="12.75">
      <c r="A14" s="24" t="s">
        <v>90</v>
      </c>
      <c r="B14" s="51">
        <v>3869.72</v>
      </c>
      <c r="C14" s="17">
        <f>S19</f>
        <v>220616.75</v>
      </c>
      <c r="D14" s="89">
        <f t="shared" si="2"/>
        <v>220616.75</v>
      </c>
      <c r="E14" s="10"/>
      <c r="F14" s="92" t="s">
        <v>79</v>
      </c>
      <c r="G14" s="33">
        <f>58409+74+11881.19-2166.32-0.12</f>
        <v>68197.75</v>
      </c>
      <c r="H14" s="40">
        <v>41862.67</v>
      </c>
      <c r="I14" s="40">
        <f>137897.06-21035.14-I7</f>
        <v>114908.39</v>
      </c>
      <c r="J14" s="32">
        <f>43963.3-J7</f>
        <v>41286.43</v>
      </c>
      <c r="K14" s="40">
        <f>46447.9-K7</f>
        <v>44408.07</v>
      </c>
      <c r="L14" s="40">
        <f>87995.36-13423.03-L7</f>
        <v>73081.02</v>
      </c>
      <c r="M14" s="31">
        <f>83981.16-12810.64-M7</f>
        <v>69662.99</v>
      </c>
      <c r="N14" s="40">
        <f>53715.47-8193.86-N7</f>
        <v>42622.65</v>
      </c>
      <c r="O14" s="40"/>
      <c r="P14" s="34"/>
      <c r="Q14" s="32"/>
      <c r="R14" s="40"/>
      <c r="S14" s="26">
        <f t="shared" si="1"/>
        <v>496029.97000000003</v>
      </c>
      <c r="T14" s="92" t="s">
        <v>79</v>
      </c>
      <c r="V14" s="2"/>
      <c r="W14" s="10"/>
      <c r="X14" s="67"/>
      <c r="Y14" s="68"/>
      <c r="Z14" s="2"/>
    </row>
    <row r="15" spans="1:26" ht="12.75">
      <c r="A15" s="24" t="s">
        <v>91</v>
      </c>
      <c r="B15" s="51">
        <v>7867.02</v>
      </c>
      <c r="C15" s="17">
        <f>S18</f>
        <v>414845.07999999996</v>
      </c>
      <c r="D15" s="89">
        <f t="shared" si="2"/>
        <v>414845.07999999996</v>
      </c>
      <c r="E15" s="10"/>
      <c r="F15" s="41" t="s">
        <v>71</v>
      </c>
      <c r="G15" s="32">
        <v>15148.39</v>
      </c>
      <c r="H15" s="40">
        <v>15233.22</v>
      </c>
      <c r="I15" s="40">
        <v>15238.58</v>
      </c>
      <c r="J15" s="32">
        <v>15285.87</v>
      </c>
      <c r="K15" s="40">
        <v>65493.78</v>
      </c>
      <c r="L15" s="40">
        <v>15554.43</v>
      </c>
      <c r="M15" s="40">
        <v>15647.9</v>
      </c>
      <c r="N15" s="40">
        <v>84815.16</v>
      </c>
      <c r="O15" s="40">
        <v>75204.1</v>
      </c>
      <c r="P15" s="34">
        <v>15289.79</v>
      </c>
      <c r="Q15" s="32">
        <v>28506.17</v>
      </c>
      <c r="R15" s="40">
        <v>15703.65</v>
      </c>
      <c r="S15" s="26">
        <f t="shared" si="1"/>
        <v>377121.04</v>
      </c>
      <c r="T15" s="41" t="s">
        <v>71</v>
      </c>
      <c r="V15" s="2"/>
      <c r="W15" s="10"/>
      <c r="X15" s="67"/>
      <c r="Y15" s="68"/>
      <c r="Z15" s="2"/>
    </row>
    <row r="16" spans="1:26" ht="12.75">
      <c r="A16" s="17" t="s">
        <v>94</v>
      </c>
      <c r="B16" s="91">
        <f>5304.1/12*8</f>
        <v>3536.066666666667</v>
      </c>
      <c r="C16" s="91">
        <f>S16</f>
        <v>119099.53</v>
      </c>
      <c r="D16" s="113">
        <f t="shared" si="2"/>
        <v>119099.53</v>
      </c>
      <c r="E16" s="10"/>
      <c r="F16" s="41" t="s">
        <v>72</v>
      </c>
      <c r="G16" s="33"/>
      <c r="H16" s="41">
        <f>4614.57+16495.75</f>
        <v>21110.32</v>
      </c>
      <c r="I16" s="41">
        <v>16495.75</v>
      </c>
      <c r="J16" s="32">
        <v>16495.75</v>
      </c>
      <c r="K16" s="40">
        <v>16343.47</v>
      </c>
      <c r="L16" s="40">
        <v>16148.86</v>
      </c>
      <c r="M16" s="40">
        <v>16148.86</v>
      </c>
      <c r="N16" s="31">
        <v>16356.52</v>
      </c>
      <c r="O16" s="40"/>
      <c r="P16" s="34"/>
      <c r="Q16" s="34"/>
      <c r="R16" s="40"/>
      <c r="S16" s="26">
        <f t="shared" si="1"/>
        <v>119099.53</v>
      </c>
      <c r="T16" s="41" t="s">
        <v>72</v>
      </c>
      <c r="V16" s="2"/>
      <c r="W16" s="10"/>
      <c r="X16" s="67"/>
      <c r="Y16" s="68"/>
      <c r="Z16" s="2"/>
    </row>
    <row r="17" spans="1:26" ht="12.75">
      <c r="A17" s="21" t="s">
        <v>109</v>
      </c>
      <c r="B17" s="91">
        <f>B18+B19</f>
        <v>10223.523333333334</v>
      </c>
      <c r="C17" s="46">
        <f>C18+C19</f>
        <v>553687.7299999999</v>
      </c>
      <c r="D17" s="94">
        <f t="shared" si="2"/>
        <v>553687.7299999999</v>
      </c>
      <c r="E17" s="10"/>
      <c r="F17" s="40" t="s">
        <v>108</v>
      </c>
      <c r="G17" s="33"/>
      <c r="H17" s="41"/>
      <c r="I17" s="41"/>
      <c r="J17" s="40"/>
      <c r="K17" s="40"/>
      <c r="L17" s="40"/>
      <c r="M17" s="40"/>
      <c r="N17" s="40"/>
      <c r="O17" s="40"/>
      <c r="P17" s="34">
        <f>95028.87+77958.54-P9</f>
        <v>168737.34999999998</v>
      </c>
      <c r="Q17" s="32">
        <f>95782.96-Q9</f>
        <v>93657.93000000001</v>
      </c>
      <c r="R17" s="32">
        <f>284917.36-R9</f>
        <v>282792.32999999996</v>
      </c>
      <c r="S17" s="26">
        <f t="shared" si="1"/>
        <v>545187.6099999999</v>
      </c>
      <c r="T17" s="40" t="s">
        <v>108</v>
      </c>
      <c r="V17" s="2"/>
      <c r="W17" s="2"/>
      <c r="X17" s="67"/>
      <c r="Y17" s="69"/>
      <c r="Z17" s="2"/>
    </row>
    <row r="18" spans="1:26" ht="12.75">
      <c r="A18" s="17" t="s">
        <v>76</v>
      </c>
      <c r="B18" s="62">
        <f>29128.97/12*4</f>
        <v>9709.656666666668</v>
      </c>
      <c r="C18" s="62">
        <f>S17</f>
        <v>545187.6099999999</v>
      </c>
      <c r="D18" s="89">
        <f t="shared" si="2"/>
        <v>545187.6099999999</v>
      </c>
      <c r="E18" s="19"/>
      <c r="F18" s="43" t="s">
        <v>48</v>
      </c>
      <c r="G18" s="32">
        <v>17437.28</v>
      </c>
      <c r="H18" s="40">
        <v>17437.28</v>
      </c>
      <c r="I18" s="40">
        <v>17486.48</v>
      </c>
      <c r="J18" s="31">
        <v>39611.63</v>
      </c>
      <c r="K18" s="40">
        <v>17638.84</v>
      </c>
      <c r="L18" s="40">
        <v>72986.61</v>
      </c>
      <c r="M18" s="40">
        <v>102874.43</v>
      </c>
      <c r="N18" s="40">
        <v>57935.1</v>
      </c>
      <c r="O18" s="40">
        <v>17985.26</v>
      </c>
      <c r="P18" s="34">
        <v>17630.29</v>
      </c>
      <c r="Q18" s="34">
        <v>17754.37</v>
      </c>
      <c r="R18" s="40">
        <v>18067.51</v>
      </c>
      <c r="S18" s="26">
        <f t="shared" si="1"/>
        <v>414845.07999999996</v>
      </c>
      <c r="T18" s="43" t="s">
        <v>48</v>
      </c>
      <c r="V18" s="2"/>
      <c r="W18" s="68"/>
      <c r="X18" s="67"/>
      <c r="Y18" s="68"/>
      <c r="Z18" s="2"/>
    </row>
    <row r="19" spans="1:26" ht="12.75">
      <c r="A19" s="17" t="s">
        <v>43</v>
      </c>
      <c r="B19" s="62">
        <f>1541.6/12*4</f>
        <v>513.8666666666667</v>
      </c>
      <c r="C19" s="62">
        <f>S9</f>
        <v>8500.12</v>
      </c>
      <c r="D19" s="89">
        <f t="shared" si="2"/>
        <v>8500.12</v>
      </c>
      <c r="F19" s="43" t="s">
        <v>51</v>
      </c>
      <c r="G19" s="33">
        <v>8180.17</v>
      </c>
      <c r="H19" s="41">
        <v>7750.68</v>
      </c>
      <c r="I19" s="41">
        <v>26741.74</v>
      </c>
      <c r="J19" s="31">
        <v>7776.9</v>
      </c>
      <c r="K19" s="40">
        <v>7770.02</v>
      </c>
      <c r="L19" s="40">
        <v>7821.23</v>
      </c>
      <c r="M19" s="40">
        <v>7937.65</v>
      </c>
      <c r="N19" s="40">
        <v>7937.65</v>
      </c>
      <c r="O19" s="40">
        <v>55527.34</v>
      </c>
      <c r="P19" s="34">
        <v>7663.08</v>
      </c>
      <c r="Q19" s="34">
        <v>67654.29</v>
      </c>
      <c r="R19" s="40">
        <v>7856</v>
      </c>
      <c r="S19" s="26">
        <f t="shared" si="1"/>
        <v>220616.75</v>
      </c>
      <c r="T19" s="43" t="s">
        <v>51</v>
      </c>
      <c r="V19" s="2"/>
      <c r="W19" s="2"/>
      <c r="X19" s="2"/>
      <c r="Y19" s="2"/>
      <c r="Z19" s="2"/>
    </row>
    <row r="20" spans="1:26" ht="12.75">
      <c r="A20" s="17" t="s">
        <v>81</v>
      </c>
      <c r="B20" s="91">
        <f>15683.38</f>
        <v>15683.38</v>
      </c>
      <c r="C20" s="91">
        <f>S8</f>
        <v>814282.7877966103</v>
      </c>
      <c r="D20" s="113">
        <f>C20*1.18</f>
        <v>960853.6896</v>
      </c>
      <c r="F20" s="30"/>
      <c r="G20" s="96"/>
      <c r="P20" s="36"/>
      <c r="Q20" s="36"/>
      <c r="S20" s="26"/>
      <c r="T20" s="30"/>
      <c r="V20" s="2"/>
      <c r="W20" s="25"/>
      <c r="X20" s="71"/>
      <c r="Y20" s="57"/>
      <c r="Z20" s="2"/>
    </row>
    <row r="21" spans="1:26" ht="12.75">
      <c r="A21" s="17" t="s">
        <v>113</v>
      </c>
      <c r="B21" s="17"/>
      <c r="C21" s="21">
        <v>18000</v>
      </c>
      <c r="D21" s="93">
        <v>18000</v>
      </c>
      <c r="E21" s="10"/>
      <c r="F21" s="41" t="s">
        <v>80</v>
      </c>
      <c r="G21" s="35">
        <f>G48</f>
        <v>103753.79609999999</v>
      </c>
      <c r="H21" s="35">
        <f aca="true" t="shared" si="4" ref="H21:R21">H48</f>
        <v>104184.02</v>
      </c>
      <c r="I21" s="35">
        <f t="shared" si="4"/>
        <v>104184.02</v>
      </c>
      <c r="J21" s="35">
        <f t="shared" si="4"/>
        <v>103142.83</v>
      </c>
      <c r="K21" s="35">
        <f t="shared" si="4"/>
        <v>102156.86</v>
      </c>
      <c r="L21" s="35">
        <f t="shared" si="4"/>
        <v>104020.59</v>
      </c>
      <c r="M21" s="35">
        <f t="shared" si="4"/>
        <v>102506.4</v>
      </c>
      <c r="N21" s="35">
        <f t="shared" si="4"/>
        <v>100850.19</v>
      </c>
      <c r="O21" s="35">
        <f t="shared" si="4"/>
        <v>97967.03</v>
      </c>
      <c r="P21" s="35">
        <f t="shared" si="4"/>
        <v>99580.34</v>
      </c>
      <c r="Q21" s="35">
        <f t="shared" si="4"/>
        <v>103174.7</v>
      </c>
      <c r="R21" s="35">
        <f t="shared" si="4"/>
        <v>103153.15</v>
      </c>
      <c r="S21" s="26">
        <f t="shared" si="1"/>
        <v>1228673.9261</v>
      </c>
      <c r="T21" s="41" t="s">
        <v>80</v>
      </c>
      <c r="V21" s="2"/>
      <c r="W21" s="10"/>
      <c r="X21" s="69"/>
      <c r="Y21" s="68"/>
      <c r="Z21" s="2"/>
    </row>
    <row r="22" spans="1:26" ht="12.75">
      <c r="A22" s="6" t="s">
        <v>114</v>
      </c>
      <c r="B22" s="48"/>
      <c r="C22" s="51">
        <v>8425.26</v>
      </c>
      <c r="D22" s="110">
        <f>C22*1.18</f>
        <v>9941.8068</v>
      </c>
      <c r="E22" s="10"/>
      <c r="F22" s="41" t="s">
        <v>58</v>
      </c>
      <c r="G22" s="41">
        <f>G41</f>
        <v>0</v>
      </c>
      <c r="H22" s="41">
        <f>H41</f>
        <v>0</v>
      </c>
      <c r="I22" s="41">
        <f>I41</f>
        <v>0</v>
      </c>
      <c r="J22" s="41">
        <f>J41</f>
        <v>0</v>
      </c>
      <c r="K22" s="41">
        <f aca="true" t="shared" si="5" ref="K22:R22">K41</f>
        <v>27670.97</v>
      </c>
      <c r="L22" s="41">
        <f t="shared" si="5"/>
        <v>18049.39</v>
      </c>
      <c r="M22" s="41">
        <f t="shared" si="5"/>
        <v>0</v>
      </c>
      <c r="N22" s="41">
        <f t="shared" si="5"/>
        <v>0</v>
      </c>
      <c r="O22" s="41">
        <f t="shared" si="5"/>
        <v>9901.42</v>
      </c>
      <c r="P22" s="33">
        <f t="shared" si="5"/>
        <v>0</v>
      </c>
      <c r="Q22" s="33">
        <f t="shared" si="5"/>
        <v>0</v>
      </c>
      <c r="R22" s="41">
        <f t="shared" si="5"/>
        <v>42806.99152542374</v>
      </c>
      <c r="S22" s="26">
        <f t="shared" si="1"/>
        <v>98428.77152542374</v>
      </c>
      <c r="T22" s="41" t="s">
        <v>58</v>
      </c>
      <c r="V22" s="2"/>
      <c r="W22" s="10"/>
      <c r="X22" s="68"/>
      <c r="Y22" s="68"/>
      <c r="Z22" s="2"/>
    </row>
    <row r="23" spans="1:26" ht="12.75">
      <c r="A23" s="6" t="s">
        <v>115</v>
      </c>
      <c r="B23" s="21"/>
      <c r="C23" s="114">
        <f>S22</f>
        <v>98428.77152542374</v>
      </c>
      <c r="D23" s="110">
        <f>C23*1.18</f>
        <v>116145.9504</v>
      </c>
      <c r="E23" s="10"/>
      <c r="F23" s="40" t="s">
        <v>69</v>
      </c>
      <c r="G23" s="40"/>
      <c r="H23" s="40"/>
      <c r="I23" s="40"/>
      <c r="J23" s="40">
        <f>J56</f>
        <v>5463.16</v>
      </c>
      <c r="K23" s="40">
        <f aca="true" t="shared" si="6" ref="K23:R23">K56</f>
        <v>24792.23</v>
      </c>
      <c r="L23" s="40">
        <f t="shared" si="6"/>
        <v>0</v>
      </c>
      <c r="M23" s="40">
        <f t="shared" si="6"/>
        <v>0</v>
      </c>
      <c r="N23" s="40">
        <f t="shared" si="6"/>
        <v>0</v>
      </c>
      <c r="O23" s="40">
        <f t="shared" si="6"/>
        <v>26392.26</v>
      </c>
      <c r="P23" s="32">
        <f t="shared" si="6"/>
        <v>3857.0299999999997</v>
      </c>
      <c r="Q23" s="32">
        <f t="shared" si="6"/>
        <v>0</v>
      </c>
      <c r="R23" s="40">
        <f t="shared" si="6"/>
        <v>0</v>
      </c>
      <c r="S23" s="26">
        <f t="shared" si="1"/>
        <v>60504.67999999999</v>
      </c>
      <c r="T23" s="40" t="s">
        <v>69</v>
      </c>
      <c r="V23" s="2"/>
      <c r="W23" s="10"/>
      <c r="X23" s="10"/>
      <c r="Y23" s="68"/>
      <c r="Z23" s="2"/>
    </row>
    <row r="24" spans="1:26" ht="12.75">
      <c r="A24" s="6" t="s">
        <v>116</v>
      </c>
      <c r="B24" s="6"/>
      <c r="C24" s="114">
        <f>S24</f>
        <v>692.3999999999997</v>
      </c>
      <c r="D24" s="110">
        <f>C24*1.18</f>
        <v>817.0319999999997</v>
      </c>
      <c r="E24" s="10"/>
      <c r="F24" s="41" t="s">
        <v>75</v>
      </c>
      <c r="G24" s="32"/>
      <c r="H24" s="32">
        <f>(13.6+15.8+13.6+15.8)*2</f>
        <v>117.6</v>
      </c>
      <c r="I24" s="32">
        <f>13.6+15.8+13.6+15.8</f>
        <v>58.8</v>
      </c>
      <c r="J24" s="32">
        <f>13.6*3+15.8*3</f>
        <v>88.2</v>
      </c>
      <c r="K24" s="32">
        <f>(13.6+15.8)*3</f>
        <v>88.19999999999999</v>
      </c>
      <c r="L24" s="32">
        <v>88.2</v>
      </c>
      <c r="M24" s="32">
        <f>(13.6+15.8)*3</f>
        <v>88.19999999999999</v>
      </c>
      <c r="N24" s="32">
        <f>13.6*3</f>
        <v>40.8</v>
      </c>
      <c r="O24" s="21">
        <v>0</v>
      </c>
      <c r="P24" s="32">
        <v>40.8</v>
      </c>
      <c r="Q24" s="32">
        <v>40.8</v>
      </c>
      <c r="R24" s="32">
        <f>13.6*3</f>
        <v>40.8</v>
      </c>
      <c r="S24" s="26">
        <f t="shared" si="1"/>
        <v>692.3999999999997</v>
      </c>
      <c r="T24" s="41" t="s">
        <v>75</v>
      </c>
      <c r="V24" s="2"/>
      <c r="W24" s="10"/>
      <c r="X24" s="10"/>
      <c r="Y24" s="57"/>
      <c r="Z24" s="2"/>
    </row>
    <row r="25" spans="1:26" ht="12.75">
      <c r="A25" s="6" t="s">
        <v>117</v>
      </c>
      <c r="B25" s="6"/>
      <c r="C25" s="114">
        <f>S56</f>
        <v>60504.67999999999</v>
      </c>
      <c r="D25" s="110">
        <f>C25*1.18</f>
        <v>71395.52239999999</v>
      </c>
      <c r="E25" s="10"/>
      <c r="F25" s="41" t="s">
        <v>0</v>
      </c>
      <c r="G25" s="40">
        <f>G5++G6+G10+G11+G18+G19+G21+G22+G23+G24</f>
        <v>556667.4561</v>
      </c>
      <c r="H25" s="40">
        <f aca="true" t="shared" si="7" ref="H25:S25">H5++H6+H10+H11+H18+H19+H21+H22+H23+H24</f>
        <v>435914.33</v>
      </c>
      <c r="I25" s="40">
        <f t="shared" si="7"/>
        <v>876899.5399999999</v>
      </c>
      <c r="J25" s="40">
        <f t="shared" si="7"/>
        <v>580309.4177966102</v>
      </c>
      <c r="K25" s="40">
        <f t="shared" si="7"/>
        <v>842060.7499999999</v>
      </c>
      <c r="L25" s="40">
        <f t="shared" si="7"/>
        <v>655260.36</v>
      </c>
      <c r="M25" s="40">
        <f t="shared" si="7"/>
        <v>784478.8900000001</v>
      </c>
      <c r="N25" s="40">
        <f t="shared" si="7"/>
        <v>1122541.07</v>
      </c>
      <c r="O25" s="40">
        <f t="shared" si="7"/>
        <v>781219.06</v>
      </c>
      <c r="P25" s="40">
        <f t="shared" si="7"/>
        <v>903741.8400000001</v>
      </c>
      <c r="Q25" s="40">
        <f t="shared" si="7"/>
        <v>785357.33</v>
      </c>
      <c r="R25" s="26">
        <f t="shared" si="7"/>
        <v>1413390.8615254236</v>
      </c>
      <c r="S25" s="26">
        <f t="shared" si="7"/>
        <v>9737840.905422034</v>
      </c>
      <c r="T25" s="41" t="s">
        <v>0</v>
      </c>
      <c r="V25" s="2"/>
      <c r="W25" s="2"/>
      <c r="X25" s="25"/>
      <c r="Y25" s="68"/>
      <c r="Z25" s="2"/>
    </row>
    <row r="26" spans="1:26" ht="12.75">
      <c r="A26" s="17" t="s">
        <v>93</v>
      </c>
      <c r="B26" s="22"/>
      <c r="C26" s="114">
        <f>S48</f>
        <v>1228673.9261</v>
      </c>
      <c r="D26" s="110">
        <f>C26</f>
        <v>1228673.9261</v>
      </c>
      <c r="E26" s="10"/>
      <c r="S26" s="109">
        <f>S6+S10+S11+S18+S19+S21+S22+S23+S24</f>
        <v>9737840.905422034</v>
      </c>
      <c r="V26" s="2"/>
      <c r="W26" s="20"/>
      <c r="X26" s="71"/>
      <c r="Y26" s="57"/>
      <c r="Z26" s="2"/>
    </row>
    <row r="27" spans="1:26" ht="12.75">
      <c r="A27" s="24" t="s">
        <v>70</v>
      </c>
      <c r="B27" s="47">
        <f>B5+B8+B11+B12+B16+B17+B20</f>
        <v>177847.63333333336</v>
      </c>
      <c r="C27" s="114">
        <f>C5+C8+C11+C12+C16+C17+C20+C21+C22+C23+C24+C25+C26</f>
        <v>9764266.165422034</v>
      </c>
      <c r="D27" s="114">
        <f>D5+D8+D11+D12+D16+D17+D20+D21+D22+D23+D24+D25+D26</f>
        <v>10033401.150099998</v>
      </c>
      <c r="E27" s="10"/>
      <c r="G27" s="100">
        <f>(G7+G8+G14+G22+G24)*1.18+G10+G12+G13+G15+G16+G18+G19+G21+G23</f>
        <v>575539.3383</v>
      </c>
      <c r="H27" s="100">
        <f>(H7+H8+H14+H22+H24)*1.18+H10+H12+H13+H15+H16+H18+H19+H21+H23</f>
        <v>449954.9672</v>
      </c>
      <c r="I27" s="100">
        <f>(I7+I8+I14+I22+I24)*1.18+I10+I12+I13+I15+I16+I18+I19+I21+I23</f>
        <v>904268.3563999999</v>
      </c>
      <c r="J27" s="103">
        <f aca="true" t="shared" si="8" ref="J27:O27">(J7+J8+J14+J22+J24)*1.18+J10+J12+J13+J15+J16+J18+J19+J21+J23*1.18</f>
        <v>595205.8988</v>
      </c>
      <c r="K27" s="103">
        <f t="shared" si="8"/>
        <v>866174.2142</v>
      </c>
      <c r="L27" s="102">
        <f t="shared" si="8"/>
        <v>678162.0083999999</v>
      </c>
      <c r="M27" s="102">
        <f t="shared" si="8"/>
        <v>797305.4596</v>
      </c>
      <c r="N27" s="102">
        <f t="shared" si="8"/>
        <v>1162176.9854</v>
      </c>
      <c r="O27" s="104">
        <f t="shared" si="8"/>
        <v>787751.9223999999</v>
      </c>
      <c r="P27" s="104">
        <f>(P7+P8+P14+P22+P24)*1.18+P10+P12+P13+P15+P16+P18+P19+P21+P23*1.18+P17+P9</f>
        <v>947170.3014</v>
      </c>
      <c r="Q27" s="104">
        <f>(Q7+Q8+Q14+Q22+Q24)*1.18+Q10+Q12+Q13+Q15+Q16+Q18+Q19+Q21+Q23*1.18+Q17+Q9</f>
        <v>808061.0630000001</v>
      </c>
      <c r="R27" s="104">
        <f>(R7+R8+R14+R22+R23+R24)*1.18+R9+R10+R12+R13+R15+R16+R17+R18+R19+R21</f>
        <v>1433688.8281999999</v>
      </c>
      <c r="S27" s="104">
        <f>(S7+S8+S14+S22+S23+S24)*1.18+S9+S10+S12+S13+S15+S16+S17+S18+S19+S21</f>
        <v>10005459.3433</v>
      </c>
      <c r="V27" s="2"/>
      <c r="W27" s="2"/>
      <c r="X27" s="10"/>
      <c r="Y27" s="10"/>
      <c r="Z27" s="2"/>
    </row>
    <row r="28" spans="1:26" ht="12.75">
      <c r="A28" s="17" t="s">
        <v>96</v>
      </c>
      <c r="B28" s="6"/>
      <c r="C28" s="6">
        <v>55000</v>
      </c>
      <c r="D28" s="110">
        <f>C28</f>
        <v>55000</v>
      </c>
      <c r="E28" s="19"/>
      <c r="F28" s="59"/>
      <c r="G28" s="29"/>
      <c r="H28" s="29"/>
      <c r="I28" s="59"/>
      <c r="J28" s="29"/>
      <c r="K28" s="29"/>
      <c r="L28" s="29">
        <v>55000</v>
      </c>
      <c r="M28" s="86">
        <f>D22</f>
        <v>9941.8068</v>
      </c>
      <c r="N28" s="29">
        <v>18000</v>
      </c>
      <c r="O28" s="29"/>
      <c r="P28" s="29"/>
      <c r="Q28" s="29"/>
      <c r="R28" s="29">
        <v>18514</v>
      </c>
      <c r="S28" s="101">
        <f>SUM(G28:R28)</f>
        <v>101455.80679999999</v>
      </c>
      <c r="T28" s="59"/>
      <c r="V28" s="2"/>
      <c r="W28" s="10"/>
      <c r="X28" s="10"/>
      <c r="Y28" s="10"/>
      <c r="Z28" s="2"/>
    </row>
    <row r="29" spans="1:26" ht="12.75">
      <c r="A29" s="99" t="s">
        <v>95</v>
      </c>
      <c r="B29" s="6"/>
      <c r="C29" s="23">
        <v>2572938.53</v>
      </c>
      <c r="D29" s="98">
        <f>3652819+55000+22000</f>
        <v>3729819</v>
      </c>
      <c r="E29" s="19"/>
      <c r="F29" s="59"/>
      <c r="G29" s="29"/>
      <c r="H29" s="29"/>
      <c r="I29" s="29"/>
      <c r="J29" s="29" t="s">
        <v>77</v>
      </c>
      <c r="K29" s="29"/>
      <c r="L29" s="29" t="s">
        <v>110</v>
      </c>
      <c r="M29" s="86">
        <f>M27+M28</f>
        <v>807247.2664</v>
      </c>
      <c r="N29" s="86">
        <f>N27+N28</f>
        <v>1180176.9854</v>
      </c>
      <c r="P29" s="29"/>
      <c r="Q29" s="29"/>
      <c r="R29" s="86">
        <f>R27+R28</f>
        <v>1452202.8281999999</v>
      </c>
      <c r="S29" s="97">
        <f>S27+S28</f>
        <v>10106915.1501</v>
      </c>
      <c r="T29" s="59"/>
      <c r="V29" s="2"/>
      <c r="W29" s="10"/>
      <c r="X29" s="10"/>
      <c r="Y29" s="25"/>
      <c r="Z29" s="2"/>
    </row>
    <row r="30" spans="1:26" ht="12.75">
      <c r="A30" s="17" t="s">
        <v>118</v>
      </c>
      <c r="B30" s="17"/>
      <c r="C30" s="21">
        <f>R28</f>
        <v>18514</v>
      </c>
      <c r="D30" s="93">
        <f>C30</f>
        <v>18514</v>
      </c>
      <c r="E30" s="10"/>
      <c r="F30" s="59"/>
      <c r="G30" s="29"/>
      <c r="H30" s="29"/>
      <c r="I30" s="29"/>
      <c r="J30" s="29"/>
      <c r="K30" s="29"/>
      <c r="L30" s="29"/>
      <c r="M30" s="29" t="s">
        <v>97</v>
      </c>
      <c r="N30" s="29" t="s">
        <v>98</v>
      </c>
      <c r="O30" s="29"/>
      <c r="P30" s="29"/>
      <c r="Q30" s="29"/>
      <c r="R30" s="29" t="s">
        <v>107</v>
      </c>
      <c r="S30" s="58"/>
      <c r="T30" s="59"/>
      <c r="V30" s="2"/>
      <c r="W30" s="10"/>
      <c r="X30" s="10"/>
      <c r="Y30" s="25"/>
      <c r="Z30" s="2"/>
    </row>
    <row r="31" spans="1:26" ht="13.5" thickBot="1">
      <c r="A31" s="140" t="s">
        <v>111</v>
      </c>
      <c r="B31" s="140"/>
      <c r="C31" s="140">
        <v>69250</v>
      </c>
      <c r="D31" s="141">
        <f>C31</f>
        <v>69250</v>
      </c>
      <c r="F31" s="59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58"/>
      <c r="T31" s="59"/>
      <c r="V31" s="2"/>
      <c r="W31" s="10"/>
      <c r="X31" s="10"/>
      <c r="Y31" s="25"/>
      <c r="Z31" s="2"/>
    </row>
    <row r="32" spans="1:26" ht="13.5" thickBot="1">
      <c r="A32" s="178" t="s">
        <v>0</v>
      </c>
      <c r="B32" s="142">
        <f>B27</f>
        <v>177847.63333333336</v>
      </c>
      <c r="C32" s="143">
        <f>C27+C28+C29+C30+C31</f>
        <v>12479968.695422033</v>
      </c>
      <c r="D32" s="144">
        <f>D27+D28+D29+D30+D31</f>
        <v>13905984.150099998</v>
      </c>
      <c r="F32" s="5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58"/>
      <c r="T32" s="59"/>
      <c r="V32" s="2"/>
      <c r="W32" s="10"/>
      <c r="X32" s="10"/>
      <c r="Y32" s="25"/>
      <c r="Z32" s="2"/>
    </row>
    <row r="33" spans="1:26" ht="13.5" thickBot="1">
      <c r="A33" s="10"/>
      <c r="B33" s="10"/>
      <c r="C33" s="57"/>
      <c r="D33" s="115"/>
      <c r="E33" s="84"/>
      <c r="F33" s="54" t="s">
        <v>52</v>
      </c>
      <c r="G33" s="157" t="s">
        <v>53</v>
      </c>
      <c r="H33" s="158"/>
      <c r="I33" s="158"/>
      <c r="J33" s="158"/>
      <c r="K33" s="158"/>
      <c r="L33" s="158"/>
      <c r="M33" s="53"/>
      <c r="N33" s="53"/>
      <c r="O33" s="53"/>
      <c r="P33" s="53"/>
      <c r="Q33" s="53"/>
      <c r="R33" s="53"/>
      <c r="S33" s="53"/>
      <c r="T33" s="81"/>
      <c r="V33" s="2"/>
      <c r="W33" s="10"/>
      <c r="X33" s="10"/>
      <c r="Y33" s="10"/>
      <c r="Z33" s="2"/>
    </row>
    <row r="34" spans="1:26" ht="13.5" thickBot="1">
      <c r="A34" s="179" t="s">
        <v>128</v>
      </c>
      <c r="B34" s="6"/>
      <c r="C34" s="46"/>
      <c r="D34" s="150"/>
      <c r="E34" s="84"/>
      <c r="F34" s="148"/>
      <c r="G34" s="149"/>
      <c r="H34" s="149"/>
      <c r="I34" s="149"/>
      <c r="J34" s="149"/>
      <c r="K34" s="149"/>
      <c r="L34" s="149"/>
      <c r="M34" s="29"/>
      <c r="N34" s="29"/>
      <c r="O34" s="29"/>
      <c r="P34" s="29"/>
      <c r="Q34" s="29"/>
      <c r="R34" s="29"/>
      <c r="S34" s="29"/>
      <c r="T34" s="81"/>
      <c r="V34" s="2"/>
      <c r="W34" s="10"/>
      <c r="X34" s="10"/>
      <c r="Y34" s="10"/>
      <c r="Z34" s="2"/>
    </row>
    <row r="35" spans="1:26" ht="13.5" thickBot="1">
      <c r="A35" s="24" t="s">
        <v>100</v>
      </c>
      <c r="B35" s="160" t="s">
        <v>122</v>
      </c>
      <c r="C35" s="160"/>
      <c r="D35" s="150">
        <v>34035</v>
      </c>
      <c r="E35" s="84"/>
      <c r="F35" s="148"/>
      <c r="G35" s="149"/>
      <c r="H35" s="149"/>
      <c r="I35" s="149"/>
      <c r="J35" s="149"/>
      <c r="K35" s="149"/>
      <c r="L35" s="149"/>
      <c r="M35" s="29"/>
      <c r="N35" s="29"/>
      <c r="O35" s="29"/>
      <c r="P35" s="29"/>
      <c r="Q35" s="29"/>
      <c r="R35" s="29"/>
      <c r="S35" s="29"/>
      <c r="T35" s="81"/>
      <c r="V35" s="2"/>
      <c r="W35" s="10"/>
      <c r="X35" s="10"/>
      <c r="Y35" s="10"/>
      <c r="Z35" s="2"/>
    </row>
    <row r="36" spans="1:26" ht="13.5" thickBot="1">
      <c r="A36" s="24" t="s">
        <v>127</v>
      </c>
      <c r="B36" s="160" t="s">
        <v>123</v>
      </c>
      <c r="C36" s="160"/>
      <c r="D36" s="150">
        <v>97875</v>
      </c>
      <c r="E36" s="84"/>
      <c r="F36" s="148"/>
      <c r="G36" s="149"/>
      <c r="H36" s="149"/>
      <c r="I36" s="149"/>
      <c r="J36" s="149"/>
      <c r="K36" s="149"/>
      <c r="L36" s="149"/>
      <c r="M36" s="29"/>
      <c r="N36" s="29"/>
      <c r="O36" s="29"/>
      <c r="P36" s="29"/>
      <c r="Q36" s="29"/>
      <c r="R36" s="29"/>
      <c r="S36" s="29"/>
      <c r="T36" s="81"/>
      <c r="V36" s="2"/>
      <c r="W36" s="10"/>
      <c r="X36" s="10"/>
      <c r="Y36" s="10"/>
      <c r="Z36" s="2"/>
    </row>
    <row r="37" spans="1:26" ht="13.5" thickBot="1">
      <c r="A37" s="24" t="s">
        <v>127</v>
      </c>
      <c r="B37" s="160" t="s">
        <v>124</v>
      </c>
      <c r="C37" s="160"/>
      <c r="D37" s="150">
        <v>12857</v>
      </c>
      <c r="E37" s="84"/>
      <c r="F37" s="148"/>
      <c r="G37" s="149"/>
      <c r="H37" s="149"/>
      <c r="I37" s="149"/>
      <c r="J37" s="149"/>
      <c r="K37" s="149"/>
      <c r="L37" s="149"/>
      <c r="M37" s="29"/>
      <c r="N37" s="29"/>
      <c r="O37" s="29"/>
      <c r="P37" s="29"/>
      <c r="Q37" s="29"/>
      <c r="R37" s="29"/>
      <c r="S37" s="29"/>
      <c r="T37" s="81"/>
      <c r="V37" s="2"/>
      <c r="W37" s="10"/>
      <c r="X37" s="10"/>
      <c r="Y37" s="10"/>
      <c r="Z37" s="2"/>
    </row>
    <row r="38" spans="1:26" ht="13.5" thickBot="1">
      <c r="A38" s="24" t="s">
        <v>127</v>
      </c>
      <c r="B38" s="165" t="s">
        <v>125</v>
      </c>
      <c r="C38" s="165"/>
      <c r="D38" s="150">
        <v>10493</v>
      </c>
      <c r="E38" s="84"/>
      <c r="F38" s="148"/>
      <c r="G38" s="149"/>
      <c r="H38" s="149"/>
      <c r="I38" s="149"/>
      <c r="J38" s="149"/>
      <c r="K38" s="149"/>
      <c r="L38" s="149"/>
      <c r="M38" s="29"/>
      <c r="N38" s="29"/>
      <c r="O38" s="29"/>
      <c r="P38" s="29"/>
      <c r="Q38" s="29"/>
      <c r="R38" s="29"/>
      <c r="S38" s="29"/>
      <c r="T38" s="81"/>
      <c r="V38" s="2"/>
      <c r="W38" s="10"/>
      <c r="X38" s="10"/>
      <c r="Y38" s="10"/>
      <c r="Z38" s="2"/>
    </row>
    <row r="39" spans="1:26" ht="13.5" thickBot="1">
      <c r="A39" s="117" t="s">
        <v>127</v>
      </c>
      <c r="B39" s="166" t="s">
        <v>126</v>
      </c>
      <c r="C39" s="166"/>
      <c r="D39" s="151">
        <v>5121</v>
      </c>
      <c r="E39" s="19"/>
      <c r="F39" s="74"/>
      <c r="G39" s="73" t="s">
        <v>54</v>
      </c>
      <c r="H39" s="55" t="s">
        <v>55</v>
      </c>
      <c r="I39" s="55" t="s">
        <v>56</v>
      </c>
      <c r="J39" s="39" t="s">
        <v>59</v>
      </c>
      <c r="K39" s="39" t="s">
        <v>60</v>
      </c>
      <c r="L39" s="39" t="s">
        <v>61</v>
      </c>
      <c r="M39" s="44" t="s">
        <v>68</v>
      </c>
      <c r="N39" s="44" t="s">
        <v>64</v>
      </c>
      <c r="O39" s="44" t="s">
        <v>63</v>
      </c>
      <c r="P39" s="44" t="s">
        <v>65</v>
      </c>
      <c r="Q39" s="44" t="s">
        <v>66</v>
      </c>
      <c r="R39" s="44" t="s">
        <v>67</v>
      </c>
      <c r="S39" s="45" t="s">
        <v>2</v>
      </c>
      <c r="T39" s="54"/>
      <c r="V39" s="2"/>
      <c r="W39" s="10"/>
      <c r="X39" s="71"/>
      <c r="Y39" s="57"/>
      <c r="Z39" s="2"/>
    </row>
    <row r="40" spans="1:26" ht="13.5" thickBot="1">
      <c r="A40" s="152" t="s">
        <v>0</v>
      </c>
      <c r="B40" s="176"/>
      <c r="C40" s="177"/>
      <c r="D40" s="153">
        <f>SUM(D35:D39)</f>
        <v>160381</v>
      </c>
      <c r="E40" s="29"/>
      <c r="F40" s="75"/>
      <c r="G40" s="76"/>
      <c r="H40" s="76"/>
      <c r="I40" s="76"/>
      <c r="J40" s="77"/>
      <c r="K40" s="77"/>
      <c r="L40" s="77"/>
      <c r="M40" s="78"/>
      <c r="N40" s="78"/>
      <c r="O40" s="78"/>
      <c r="P40" s="78"/>
      <c r="Q40" s="78"/>
      <c r="R40" s="78"/>
      <c r="S40" s="79"/>
      <c r="T40" s="56" t="s">
        <v>52</v>
      </c>
      <c r="V40" s="2"/>
      <c r="W40" s="10"/>
      <c r="X40" s="10"/>
      <c r="Y40" s="57"/>
      <c r="Z40" s="2"/>
    </row>
    <row r="41" spans="1:26" ht="12.75">
      <c r="A41" s="20"/>
      <c r="B41" s="10"/>
      <c r="C41" s="116"/>
      <c r="D41" s="86"/>
      <c r="E41" s="19"/>
      <c r="F41" s="121" t="s">
        <v>74</v>
      </c>
      <c r="G41" s="87">
        <f>SUM(G42:G46)</f>
        <v>0</v>
      </c>
      <c r="H41" s="87">
        <f aca="true" t="shared" si="9" ref="H41:R41">SUM(H42:H46)</f>
        <v>0</v>
      </c>
      <c r="I41" s="87">
        <f>SUM(I42:I46)</f>
        <v>0</v>
      </c>
      <c r="J41" s="87">
        <f t="shared" si="9"/>
        <v>0</v>
      </c>
      <c r="K41" s="87">
        <f t="shared" si="9"/>
        <v>27670.97</v>
      </c>
      <c r="L41" s="87">
        <f t="shared" si="9"/>
        <v>18049.39</v>
      </c>
      <c r="M41" s="87">
        <f t="shared" si="9"/>
        <v>0</v>
      </c>
      <c r="N41" s="87">
        <f t="shared" si="9"/>
        <v>0</v>
      </c>
      <c r="O41" s="87">
        <f t="shared" si="9"/>
        <v>9901.42</v>
      </c>
      <c r="P41" s="87">
        <f t="shared" si="9"/>
        <v>0</v>
      </c>
      <c r="Q41" s="87">
        <f t="shared" si="9"/>
        <v>0</v>
      </c>
      <c r="R41" s="108">
        <f t="shared" si="9"/>
        <v>42806.99152542374</v>
      </c>
      <c r="S41" s="87">
        <f>SUM(S42:S46)</f>
        <v>98428.77152542374</v>
      </c>
      <c r="T41" s="122" t="s">
        <v>74</v>
      </c>
      <c r="V41" s="2"/>
      <c r="W41" s="10"/>
      <c r="X41" s="10"/>
      <c r="Y41" s="57"/>
      <c r="Z41" s="2"/>
    </row>
    <row r="42" spans="1:20" ht="12.75">
      <c r="A42" s="20" t="s">
        <v>130</v>
      </c>
      <c r="B42" s="10"/>
      <c r="C42" s="118"/>
      <c r="D42" s="180">
        <f>D40+D32</f>
        <v>14066365.150099998</v>
      </c>
      <c r="E42" s="119"/>
      <c r="F42" s="123" t="s">
        <v>47</v>
      </c>
      <c r="G42" s="40"/>
      <c r="H42" s="40"/>
      <c r="I42" s="40"/>
      <c r="J42" s="40"/>
      <c r="K42" s="40">
        <v>27670.97</v>
      </c>
      <c r="L42" s="40">
        <v>18049.39</v>
      </c>
      <c r="M42" s="26"/>
      <c r="N42" s="40"/>
      <c r="O42" s="40">
        <v>9901.42</v>
      </c>
      <c r="P42" s="40"/>
      <c r="Q42" s="40"/>
      <c r="R42" s="26">
        <f>28890.24/1.18</f>
        <v>24483.25423728814</v>
      </c>
      <c r="S42" s="40">
        <f>SUM(G42:R42)</f>
        <v>80105.03423728814</v>
      </c>
      <c r="T42" s="124" t="s">
        <v>47</v>
      </c>
    </row>
    <row r="43" spans="1:20" ht="12.75">
      <c r="A43" s="20"/>
      <c r="B43" s="2"/>
      <c r="C43" s="105"/>
      <c r="D43" s="120"/>
      <c r="E43" s="107"/>
      <c r="F43" s="123" t="s">
        <v>48</v>
      </c>
      <c r="G43" s="40"/>
      <c r="H43" s="40"/>
      <c r="I43" s="40"/>
      <c r="J43" s="40"/>
      <c r="K43" s="40"/>
      <c r="L43" s="40"/>
      <c r="M43" s="26"/>
      <c r="N43" s="40"/>
      <c r="O43" s="40"/>
      <c r="P43" s="40"/>
      <c r="Q43" s="40"/>
      <c r="R43" s="26">
        <f>5448.8/1.18</f>
        <v>4617.627118644068</v>
      </c>
      <c r="S43" s="40">
        <f>SUM(G43:R43)</f>
        <v>4617.627118644068</v>
      </c>
      <c r="T43" s="124" t="s">
        <v>48</v>
      </c>
    </row>
    <row r="44" spans="5:26" ht="12.75">
      <c r="E44" s="10"/>
      <c r="F44" s="123" t="s">
        <v>51</v>
      </c>
      <c r="G44" s="40"/>
      <c r="H44" s="40"/>
      <c r="I44" s="40"/>
      <c r="J44" s="40"/>
      <c r="K44" s="40"/>
      <c r="L44" s="40"/>
      <c r="M44" s="26"/>
      <c r="N44" s="40"/>
      <c r="O44" s="40"/>
      <c r="P44" s="40"/>
      <c r="Q44" s="40"/>
      <c r="R44" s="26">
        <f>2761.33/1.18</f>
        <v>2340.1101694915255</v>
      </c>
      <c r="S44" s="40">
        <f>SUM(G44:R44)</f>
        <v>2340.1101694915255</v>
      </c>
      <c r="T44" s="124" t="s">
        <v>51</v>
      </c>
      <c r="V44" s="2"/>
      <c r="W44" s="20"/>
      <c r="X44" s="10"/>
      <c r="Y44" s="57"/>
      <c r="Z44" s="2"/>
    </row>
    <row r="45" spans="5:26" ht="12.75">
      <c r="E45" s="10"/>
      <c r="F45" s="125" t="s">
        <v>50</v>
      </c>
      <c r="G45" s="40"/>
      <c r="H45" s="40"/>
      <c r="I45" s="40"/>
      <c r="J45" s="40"/>
      <c r="K45" s="40"/>
      <c r="L45" s="40"/>
      <c r="M45" s="26"/>
      <c r="N45" s="40"/>
      <c r="O45" s="40"/>
      <c r="P45" s="40"/>
      <c r="Q45" s="40"/>
      <c r="R45" s="26">
        <f>2863.53/1.18</f>
        <v>2426.720338983051</v>
      </c>
      <c r="S45" s="40">
        <f>SUM(G45:R45)</f>
        <v>2426.720338983051</v>
      </c>
      <c r="T45" s="126" t="s">
        <v>50</v>
      </c>
      <c r="V45" s="2"/>
      <c r="W45" s="20"/>
      <c r="X45" s="10"/>
      <c r="Y45" s="72"/>
      <c r="Z45" s="2"/>
    </row>
    <row r="46" spans="1:26" ht="12.75">
      <c r="A46" s="95"/>
      <c r="B46" s="85"/>
      <c r="C46" s="85"/>
      <c r="D46" s="85"/>
      <c r="E46" s="10"/>
      <c r="F46" s="127" t="s">
        <v>49</v>
      </c>
      <c r="G46" s="40"/>
      <c r="H46" s="40"/>
      <c r="I46" s="40"/>
      <c r="J46" s="40"/>
      <c r="K46" s="40"/>
      <c r="L46" s="40"/>
      <c r="M46" s="26"/>
      <c r="N46" s="40"/>
      <c r="O46" s="40"/>
      <c r="P46" s="40"/>
      <c r="Q46" s="40"/>
      <c r="R46" s="26">
        <f>10548.35/1.18</f>
        <v>8939.27966101695</v>
      </c>
      <c r="S46" s="40">
        <f>SUM(G46:R46)</f>
        <v>8939.27966101695</v>
      </c>
      <c r="T46" s="128" t="s">
        <v>49</v>
      </c>
      <c r="V46" s="2"/>
      <c r="W46" s="20"/>
      <c r="X46" s="10"/>
      <c r="Y46" s="57"/>
      <c r="Z46" s="2"/>
    </row>
    <row r="47" spans="5:26" ht="12.75">
      <c r="E47" s="10"/>
      <c r="F47" s="12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30"/>
      <c r="V47" s="2"/>
      <c r="W47" s="63"/>
      <c r="X47" s="10"/>
      <c r="Y47" s="57"/>
      <c r="Z47" s="2"/>
    </row>
    <row r="48" spans="1:26" ht="14.25" customHeight="1">
      <c r="A48" s="25"/>
      <c r="B48" s="2"/>
      <c r="C48" s="112"/>
      <c r="D48" s="82"/>
      <c r="E48" s="10"/>
      <c r="F48" s="131" t="s">
        <v>80</v>
      </c>
      <c r="G48" s="31">
        <f>SUM(G49:G54)</f>
        <v>103753.79609999999</v>
      </c>
      <c r="H48" s="31">
        <f>SUM(H49:H54)</f>
        <v>104184.02</v>
      </c>
      <c r="I48" s="31">
        <f>SUM(I49:I54)</f>
        <v>104184.02</v>
      </c>
      <c r="J48" s="31">
        <f aca="true" t="shared" si="10" ref="J48:R48">SUM(J49:J54)</f>
        <v>103142.83</v>
      </c>
      <c r="K48" s="31">
        <f t="shared" si="10"/>
        <v>102156.86</v>
      </c>
      <c r="L48" s="31">
        <f t="shared" si="10"/>
        <v>104020.59</v>
      </c>
      <c r="M48" s="31">
        <v>102506.4</v>
      </c>
      <c r="N48" s="31">
        <f>100850.19</f>
        <v>100850.19</v>
      </c>
      <c r="O48" s="31">
        <v>97967.03</v>
      </c>
      <c r="P48" s="31">
        <f t="shared" si="10"/>
        <v>99580.34</v>
      </c>
      <c r="Q48" s="31">
        <f t="shared" si="10"/>
        <v>103174.7</v>
      </c>
      <c r="R48" s="31">
        <f t="shared" si="10"/>
        <v>103153.15</v>
      </c>
      <c r="S48" s="26">
        <f aca="true" t="shared" si="11" ref="S48:S53">SUM(G48:R48)</f>
        <v>1228673.9261</v>
      </c>
      <c r="T48" s="132" t="s">
        <v>80</v>
      </c>
      <c r="V48" s="2"/>
      <c r="W48" s="18"/>
      <c r="X48" s="2"/>
      <c r="Y48" s="2"/>
      <c r="Z48" s="2"/>
    </row>
    <row r="49" spans="1:26" ht="12.75">
      <c r="A49" s="2"/>
      <c r="B49" s="105"/>
      <c r="C49" s="70"/>
      <c r="D49" s="84"/>
      <c r="E49" s="10"/>
      <c r="F49" s="125" t="s">
        <v>47</v>
      </c>
      <c r="G49" s="26">
        <f>143870.45*0.59+0.06</f>
        <v>84883.6255</v>
      </c>
      <c r="H49" s="40">
        <f>104184.02-H50-H51-H52-H53</f>
        <v>84863.93000000002</v>
      </c>
      <c r="I49" s="40">
        <f>104184.02-I50-I51-I52-I53</f>
        <v>84863.93000000002</v>
      </c>
      <c r="J49" s="40">
        <f>103142.83-J50-J51-J52-J53</f>
        <v>84238.85</v>
      </c>
      <c r="K49" s="40">
        <f>102156.86-K50-K51-K52-K53</f>
        <v>83978.97000000002</v>
      </c>
      <c r="L49" s="26">
        <f>104020.59-L50-L51-L52-L53</f>
        <v>85000.50000000001</v>
      </c>
      <c r="M49" s="26">
        <f>M48-M50-M51-M52-M53</f>
        <v>83186.31000000001</v>
      </c>
      <c r="N49" s="26">
        <f>N48-N50-N51-N52-N53</f>
        <v>82794.74</v>
      </c>
      <c r="O49" s="26">
        <f>O48-O50-O51-O52-O53</f>
        <v>82104.1</v>
      </c>
      <c r="P49" s="26">
        <f>99580.34-P50-P51-P52-P53</f>
        <v>80260.23000000001</v>
      </c>
      <c r="Q49" s="26">
        <f>103174.7-Q50-Q51-Q52-Q53</f>
        <v>83854.61000000002</v>
      </c>
      <c r="R49" s="26">
        <f>103153.15-R50-R51-R52-R53</f>
        <v>83833.06000000001</v>
      </c>
      <c r="S49" s="26">
        <f t="shared" si="11"/>
        <v>1003862.8555000001</v>
      </c>
      <c r="T49" s="126" t="s">
        <v>47</v>
      </c>
      <c r="V49" s="2"/>
      <c r="W49" s="2"/>
      <c r="X49" s="2"/>
      <c r="Y49" s="2"/>
      <c r="Z49" s="2"/>
    </row>
    <row r="50" spans="1:26" ht="12.75">
      <c r="A50" s="2"/>
      <c r="B50" s="84"/>
      <c r="C50" s="70"/>
      <c r="D50" s="84"/>
      <c r="E50" s="10"/>
      <c r="F50" s="125" t="s">
        <v>48</v>
      </c>
      <c r="G50" s="26">
        <f>7812.77*0.59</f>
        <v>4609.5343</v>
      </c>
      <c r="H50" s="40">
        <f>416.13+422.62+420.42+492.53+1193.57+496.72+1167.55</f>
        <v>4609.54</v>
      </c>
      <c r="I50" s="40">
        <f>416.13+422.62+420.42+492.53+1193.57+496.72+1167.55</f>
        <v>4609.54</v>
      </c>
      <c r="J50" s="40">
        <f>422.62+420.42+492.53+1193.57+496.72+1167.55</f>
        <v>4193.41</v>
      </c>
      <c r="K50" s="40">
        <f>416.13+422.62+420.42+158.88+385.02+496.72+1167.55</f>
        <v>3467.34</v>
      </c>
      <c r="L50" s="26">
        <f>416.13+422.62+420.42+492.53+1193.57+496.72+1167.55</f>
        <v>4609.54</v>
      </c>
      <c r="M50" s="26">
        <v>4609.54</v>
      </c>
      <c r="N50" s="26">
        <f>416.13+422.62+420.42+123.13+298.39+496.72+1167.55</f>
        <v>3344.96</v>
      </c>
      <c r="O50" s="32">
        <f>104.03+105.66+105.1+123.13+298.39+124.18+291.89</f>
        <v>1152.38</v>
      </c>
      <c r="P50" s="26">
        <f>416.13+422.62+420.42+492.53+1193.57+496.72+1167.55</f>
        <v>4609.54</v>
      </c>
      <c r="Q50" s="26">
        <f>416.13+422.62+420.42+492.53+1193.57+496.72+1167.55</f>
        <v>4609.54</v>
      </c>
      <c r="R50" s="40">
        <f>416.13+422.62+420.42+492.53+1193.57+496.72+1167.55</f>
        <v>4609.54</v>
      </c>
      <c r="S50" s="26">
        <f t="shared" si="11"/>
        <v>49034.4043</v>
      </c>
      <c r="T50" s="126" t="s">
        <v>48</v>
      </c>
      <c r="V50" s="2"/>
      <c r="W50" s="2"/>
      <c r="X50" s="2"/>
      <c r="Y50" s="2"/>
      <c r="Z50" s="2"/>
    </row>
    <row r="51" spans="1:26" ht="12.75">
      <c r="A51" s="2"/>
      <c r="B51" s="84"/>
      <c r="C51" s="70"/>
      <c r="D51" s="84"/>
      <c r="F51" s="125" t="s">
        <v>51</v>
      </c>
      <c r="G51" s="26">
        <f>3813.3*0.59</f>
        <v>2249.847</v>
      </c>
      <c r="H51" s="40">
        <f aca="true" t="shared" si="12" ref="H51:M51">457.37+328.87+493.12+463.56+505.75</f>
        <v>2248.67</v>
      </c>
      <c r="I51" s="40">
        <f t="shared" si="12"/>
        <v>2248.67</v>
      </c>
      <c r="J51" s="40">
        <f t="shared" si="12"/>
        <v>2248.67</v>
      </c>
      <c r="K51" s="40">
        <f t="shared" si="12"/>
        <v>2248.67</v>
      </c>
      <c r="L51" s="26">
        <f t="shared" si="12"/>
        <v>2248.67</v>
      </c>
      <c r="M51" s="26">
        <f t="shared" si="12"/>
        <v>2248.67</v>
      </c>
      <c r="N51" s="26">
        <f>457.37+328.87+493.12+463.56+505.75</f>
        <v>2248.67</v>
      </c>
      <c r="O51" s="32">
        <f>457.37+328.87+493.12+463.56+505.75</f>
        <v>2248.67</v>
      </c>
      <c r="P51" s="26">
        <f>457.37+328.87+493.12+463.56+505.75</f>
        <v>2248.67</v>
      </c>
      <c r="Q51" s="26">
        <f>457.37+328.87+493.12+463.56+505.75</f>
        <v>2248.67</v>
      </c>
      <c r="R51" s="40">
        <f>457.37+328.87+493.12+463.56+505.75</f>
        <v>2248.67</v>
      </c>
      <c r="S51" s="26">
        <f t="shared" si="11"/>
        <v>26985.216999999997</v>
      </c>
      <c r="T51" s="126" t="s">
        <v>51</v>
      </c>
      <c r="V51" s="2"/>
      <c r="W51" s="2"/>
      <c r="X51" s="2"/>
      <c r="Y51" s="2"/>
      <c r="Z51" s="2"/>
    </row>
    <row r="52" spans="1:26" ht="12.75">
      <c r="A52" s="2"/>
      <c r="B52" s="84"/>
      <c r="C52" s="70"/>
      <c r="D52" s="84"/>
      <c r="F52" s="125" t="s">
        <v>50</v>
      </c>
      <c r="G52" s="26">
        <f>3942.59*0.59</f>
        <v>2326.1281</v>
      </c>
      <c r="H52" s="40">
        <f>781.2+768.66+763.01</f>
        <v>2312.87</v>
      </c>
      <c r="I52" s="40">
        <f>781.2+768.66+763.01</f>
        <v>2312.87</v>
      </c>
      <c r="J52" s="40">
        <f>781.2+768.68+763.01</f>
        <v>2312.8900000000003</v>
      </c>
      <c r="K52" s="40">
        <f>781.2+768.66+763.01</f>
        <v>2312.87</v>
      </c>
      <c r="L52" s="26">
        <v>2012.87</v>
      </c>
      <c r="M52" s="26">
        <f>781.2+768.66+763.01</f>
        <v>2312.87</v>
      </c>
      <c r="N52" s="26">
        <f>781.2+768.6+763.01</f>
        <v>2312.8100000000004</v>
      </c>
      <c r="O52" s="32">
        <f>781.2+768.66+763.01</f>
        <v>2312.87</v>
      </c>
      <c r="P52" s="26">
        <f>781.2+768.68+763.01</f>
        <v>2312.8900000000003</v>
      </c>
      <c r="Q52" s="26">
        <f>781.2+768.66+763.01</f>
        <v>2312.87</v>
      </c>
      <c r="R52" s="40">
        <f>781.2+768.66+763.01</f>
        <v>2312.87</v>
      </c>
      <c r="S52" s="26">
        <f t="shared" si="11"/>
        <v>27467.678099999994</v>
      </c>
      <c r="T52" s="126" t="s">
        <v>50</v>
      </c>
      <c r="V52" s="2"/>
      <c r="W52" s="2"/>
      <c r="X52" s="2"/>
      <c r="Y52" s="2"/>
      <c r="Z52" s="2"/>
    </row>
    <row r="53" spans="1:26" ht="12.75">
      <c r="A53" s="2"/>
      <c r="B53" s="84"/>
      <c r="C53" s="70"/>
      <c r="D53" s="84"/>
      <c r="F53" s="125" t="s">
        <v>49</v>
      </c>
      <c r="G53" s="26">
        <f>(15683.38+731.3)*0.59</f>
        <v>9684.6612</v>
      </c>
      <c r="H53" s="40">
        <f>2087.41+1923.46+2582.78+59.24+357.36+1149.56+574.31+518.91+209.51+221.96+464.51</f>
        <v>10149.009999999998</v>
      </c>
      <c r="I53" s="40">
        <f>2087.41+1923.46+2582.78+59.24+357.36+1149.56+574.31+518.91+464.51+209.51+221.96</f>
        <v>10149.009999999998</v>
      </c>
      <c r="J53" s="40">
        <f>2087.41+1923.46+2582.78+59.24+357.36+1149.56+574.31+518.91+209.51+221.96+464.51</f>
        <v>10149.009999999998</v>
      </c>
      <c r="K53" s="40">
        <f>2087.41+1923.46+2582.78+59.24+357.36+1149.56+574.31+518.91+209.51+221.96+464.51</f>
        <v>10149.009999999998</v>
      </c>
      <c r="L53" s="26">
        <f>2087.41+1923.46+2582.78+59.24+357.36+1149.56+574.31+518.91+209.51+221.96+464.51</f>
        <v>10149.009999999998</v>
      </c>
      <c r="M53" s="26">
        <f>2087.41+1923.46+2582.78+59.24+357.36+1149.56+574.31+518.91+209.51+221.96+464.51</f>
        <v>10149.009999999998</v>
      </c>
      <c r="N53" s="26">
        <f>464.51+2087.41+1923.46+2582.78+59.24+357.36+1149.56+574.31+518.91+209.51+221.96</f>
        <v>10149.009999999998</v>
      </c>
      <c r="O53" s="32">
        <f>2087.41+1923.46+2582.78+59.24+357.36+1149.56+574.31+518.91+209.51+221.96+464.51</f>
        <v>10149.009999999998</v>
      </c>
      <c r="P53" s="26">
        <f>2087.41+1923.46+2582.78+59.24+357.36+1149.56+574.31+518.91+209.51+221.96+464.51</f>
        <v>10149.009999999998</v>
      </c>
      <c r="Q53" s="26">
        <f>2087.41+1923.46+2582.78+59.24+357.36+1149.56+574.31+518.91+209.51+221.96+464.51</f>
        <v>10149.009999999998</v>
      </c>
      <c r="R53" s="40">
        <f>464.51+2087.41+1923.46+2582.78+59.24+357.36+1149.56+574.31+518.91+209.51+221.96</f>
        <v>10149.009999999998</v>
      </c>
      <c r="S53" s="26">
        <f t="shared" si="11"/>
        <v>121323.77119999996</v>
      </c>
      <c r="T53" s="126" t="s">
        <v>49</v>
      </c>
      <c r="V53" s="2"/>
      <c r="W53" s="2"/>
      <c r="X53" s="2"/>
      <c r="Y53" s="2"/>
      <c r="Z53" s="2"/>
    </row>
    <row r="54" spans="1:26" ht="12.75">
      <c r="A54" s="2"/>
      <c r="B54" s="2"/>
      <c r="C54" s="116"/>
      <c r="D54" s="84"/>
      <c r="F54" s="125"/>
      <c r="G54" s="40"/>
      <c r="H54" s="40"/>
      <c r="I54" s="40"/>
      <c r="J54" s="40"/>
      <c r="K54" s="40"/>
      <c r="L54" s="26"/>
      <c r="M54" s="26"/>
      <c r="N54" s="26"/>
      <c r="O54" s="106"/>
      <c r="P54" s="26"/>
      <c r="Q54" s="26"/>
      <c r="R54" s="40"/>
      <c r="S54" s="26"/>
      <c r="T54" s="126"/>
      <c r="V54" s="2"/>
      <c r="W54" s="2"/>
      <c r="X54" s="2"/>
      <c r="Y54" s="2"/>
      <c r="Z54" s="2"/>
    </row>
    <row r="55" spans="1:26" ht="12.75">
      <c r="A55" s="2"/>
      <c r="B55" s="2"/>
      <c r="C55" s="83"/>
      <c r="D55" s="84"/>
      <c r="F55" s="133"/>
      <c r="G55" s="2"/>
      <c r="H55" s="2"/>
      <c r="I55" s="2"/>
      <c r="J55" s="2"/>
      <c r="K55" s="2"/>
      <c r="L55" s="37"/>
      <c r="M55" s="2"/>
      <c r="N55" s="2"/>
      <c r="O55" s="2"/>
      <c r="P55" s="2"/>
      <c r="Q55" s="2"/>
      <c r="R55" s="2"/>
      <c r="S55" s="86"/>
      <c r="T55" s="134"/>
      <c r="U55" s="2"/>
      <c r="V55" s="2"/>
      <c r="W55" s="2"/>
      <c r="X55" s="2"/>
      <c r="Y55" s="2"/>
      <c r="Z55" s="2"/>
    </row>
    <row r="56" spans="1:26" ht="12.75">
      <c r="A56" s="25"/>
      <c r="B56" s="2"/>
      <c r="C56" s="112"/>
      <c r="D56" s="84"/>
      <c r="F56" s="131" t="s">
        <v>69</v>
      </c>
      <c r="G56" s="31">
        <f>SUM(G57:G62)</f>
        <v>0</v>
      </c>
      <c r="H56" s="31">
        <f>SUM(H57:H62)</f>
        <v>0</v>
      </c>
      <c r="I56" s="31">
        <f>SUM(I57:I62)</f>
        <v>0</v>
      </c>
      <c r="J56" s="31">
        <f aca="true" t="shared" si="13" ref="J56:R56">SUM(J57:J62)</f>
        <v>5463.16</v>
      </c>
      <c r="K56" s="31">
        <f t="shared" si="13"/>
        <v>24792.23</v>
      </c>
      <c r="L56" s="31">
        <f t="shared" si="13"/>
        <v>0</v>
      </c>
      <c r="M56" s="31">
        <f t="shared" si="13"/>
        <v>0</v>
      </c>
      <c r="N56" s="31">
        <f t="shared" si="13"/>
        <v>0</v>
      </c>
      <c r="O56" s="31">
        <f t="shared" si="13"/>
        <v>26392.26</v>
      </c>
      <c r="P56" s="31">
        <f t="shared" si="13"/>
        <v>3857.0299999999997</v>
      </c>
      <c r="Q56" s="31">
        <f t="shared" si="13"/>
        <v>0</v>
      </c>
      <c r="R56" s="31">
        <f t="shared" si="13"/>
        <v>0</v>
      </c>
      <c r="S56" s="26">
        <f aca="true" t="shared" si="14" ref="S56:S61">SUM(G56:R56)</f>
        <v>60504.67999999999</v>
      </c>
      <c r="T56" s="132" t="s">
        <v>69</v>
      </c>
      <c r="V56" s="2"/>
      <c r="W56" s="2"/>
      <c r="X56" s="2"/>
      <c r="Y56" s="2"/>
      <c r="Z56" s="2"/>
    </row>
    <row r="57" spans="1:26" ht="12.75">
      <c r="A57" s="2"/>
      <c r="B57" s="105"/>
      <c r="C57" s="70"/>
      <c r="D57" s="84"/>
      <c r="F57" s="125" t="s">
        <v>47</v>
      </c>
      <c r="G57" s="40"/>
      <c r="H57" s="40"/>
      <c r="I57" s="40"/>
      <c r="J57" s="40">
        <v>2222.23</v>
      </c>
      <c r="K57" s="40">
        <f>11787.64+5985.32+3067.08</f>
        <v>20840.04</v>
      </c>
      <c r="L57" s="40"/>
      <c r="M57" s="40"/>
      <c r="N57" s="26"/>
      <c r="O57" s="40">
        <f>3067.08+10840.92+5985.32+2222.23</f>
        <v>22115.55</v>
      </c>
      <c r="P57" s="26">
        <v>940.62</v>
      </c>
      <c r="Q57" s="26"/>
      <c r="R57" s="40"/>
      <c r="S57" s="26">
        <f t="shared" si="14"/>
        <v>46118.44</v>
      </c>
      <c r="T57" s="126" t="s">
        <v>47</v>
      </c>
      <c r="V57" s="2"/>
      <c r="W57" s="2"/>
      <c r="X57" s="2"/>
      <c r="Y57" s="2"/>
      <c r="Z57" s="2"/>
    </row>
    <row r="58" spans="1:26" ht="12.75">
      <c r="A58" s="2"/>
      <c r="B58" s="105"/>
      <c r="C58" s="70"/>
      <c r="D58" s="2"/>
      <c r="F58" s="125" t="s">
        <v>48</v>
      </c>
      <c r="G58" s="40"/>
      <c r="H58" s="40"/>
      <c r="I58" s="40"/>
      <c r="J58" s="40">
        <v>1469.49</v>
      </c>
      <c r="K58" s="40"/>
      <c r="L58" s="26"/>
      <c r="M58" s="26"/>
      <c r="N58" s="26"/>
      <c r="O58" s="32">
        <v>1469.49</v>
      </c>
      <c r="P58" s="26"/>
      <c r="Q58" s="26"/>
      <c r="R58" s="40"/>
      <c r="S58" s="26">
        <f t="shared" si="14"/>
        <v>2938.98</v>
      </c>
      <c r="T58" s="126" t="s">
        <v>48</v>
      </c>
      <c r="V58" s="2"/>
      <c r="W58" s="2"/>
      <c r="X58" s="2"/>
      <c r="Y58" s="2"/>
      <c r="Z58" s="2"/>
    </row>
    <row r="59" spans="1:26" ht="12.75">
      <c r="A59" s="2"/>
      <c r="B59" s="105"/>
      <c r="C59" s="70"/>
      <c r="D59" s="2"/>
      <c r="F59" s="125" t="s">
        <v>51</v>
      </c>
      <c r="G59" s="40"/>
      <c r="H59" s="40"/>
      <c r="I59" s="40"/>
      <c r="J59" s="40">
        <v>1771.44</v>
      </c>
      <c r="K59" s="40"/>
      <c r="L59" s="26"/>
      <c r="M59" s="26"/>
      <c r="N59" s="26"/>
      <c r="O59" s="32">
        <f>1771.44</f>
        <v>1771.44</v>
      </c>
      <c r="P59" s="26"/>
      <c r="Q59" s="26"/>
      <c r="R59" s="40"/>
      <c r="S59" s="26">
        <f t="shared" si="14"/>
        <v>3542.88</v>
      </c>
      <c r="T59" s="126" t="s">
        <v>51</v>
      </c>
      <c r="V59" s="2"/>
      <c r="W59" s="2"/>
      <c r="X59" s="2"/>
      <c r="Y59" s="2"/>
      <c r="Z59" s="2"/>
    </row>
    <row r="60" spans="1:26" ht="12.75">
      <c r="A60" s="2"/>
      <c r="B60" s="105"/>
      <c r="C60" s="70"/>
      <c r="D60" s="2"/>
      <c r="F60" s="125" t="s">
        <v>50</v>
      </c>
      <c r="G60" s="40"/>
      <c r="H60" s="40"/>
      <c r="I60" s="40"/>
      <c r="J60" s="40"/>
      <c r="K60" s="40">
        <v>1035.78</v>
      </c>
      <c r="L60" s="26"/>
      <c r="M60" s="26"/>
      <c r="N60" s="26"/>
      <c r="O60" s="32">
        <f>1035.78</f>
        <v>1035.78</v>
      </c>
      <c r="P60" s="26"/>
      <c r="Q60" s="26"/>
      <c r="R60" s="40"/>
      <c r="S60" s="26">
        <f t="shared" si="14"/>
        <v>2071.56</v>
      </c>
      <c r="T60" s="126" t="s">
        <v>50</v>
      </c>
      <c r="V60" s="2"/>
      <c r="W60" s="2"/>
      <c r="X60" s="2"/>
      <c r="Y60" s="2"/>
      <c r="Z60" s="2"/>
    </row>
    <row r="61" spans="1:26" ht="12.75">
      <c r="A61" s="2"/>
      <c r="B61" s="105"/>
      <c r="C61" s="70"/>
      <c r="D61" s="2"/>
      <c r="F61" s="125" t="s">
        <v>49</v>
      </c>
      <c r="G61" s="40"/>
      <c r="H61" s="40"/>
      <c r="I61" s="40"/>
      <c r="J61" s="40"/>
      <c r="K61" s="40">
        <v>2916.41</v>
      </c>
      <c r="L61" s="26"/>
      <c r="M61" s="26"/>
      <c r="N61" s="26"/>
      <c r="O61" s="32"/>
      <c r="P61" s="26">
        <v>2916.41</v>
      </c>
      <c r="Q61" s="26"/>
      <c r="R61" s="40"/>
      <c r="S61" s="26">
        <f t="shared" si="14"/>
        <v>5832.82</v>
      </c>
      <c r="T61" s="126" t="s">
        <v>49</v>
      </c>
      <c r="V61" s="2"/>
      <c r="W61" s="2"/>
      <c r="X61" s="2"/>
      <c r="Y61" s="2"/>
      <c r="Z61" s="2"/>
    </row>
    <row r="62" spans="1:26" ht="13.5" thickBot="1">
      <c r="A62" s="2"/>
      <c r="B62" s="105"/>
      <c r="C62" s="116"/>
      <c r="D62" s="2"/>
      <c r="F62" s="135"/>
      <c r="G62" s="136"/>
      <c r="H62" s="136"/>
      <c r="I62" s="136"/>
      <c r="J62" s="136"/>
      <c r="K62" s="136"/>
      <c r="L62" s="137"/>
      <c r="M62" s="137"/>
      <c r="N62" s="137"/>
      <c r="O62" s="138"/>
      <c r="P62" s="137"/>
      <c r="Q62" s="137"/>
      <c r="R62" s="136"/>
      <c r="S62" s="137"/>
      <c r="T62" s="139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F63" s="29"/>
      <c r="G63" s="29"/>
      <c r="H63" s="29"/>
      <c r="I63" s="29"/>
      <c r="J63" s="29"/>
      <c r="K63" s="29"/>
      <c r="L63" s="86"/>
      <c r="M63" s="86"/>
      <c r="N63" s="86"/>
      <c r="O63" s="37"/>
      <c r="P63" s="86"/>
      <c r="Q63" s="86"/>
      <c r="R63" s="29"/>
      <c r="S63" s="86"/>
      <c r="T63" s="29"/>
      <c r="V63" s="2"/>
      <c r="W63" s="2"/>
      <c r="X63" s="2"/>
      <c r="Y63" s="2"/>
      <c r="Z63" s="2"/>
    </row>
    <row r="64" spans="1:26" ht="12.75">
      <c r="A64" s="2"/>
      <c r="B64" s="2"/>
      <c r="C64" s="112"/>
      <c r="D64" s="2"/>
      <c r="F64" s="29"/>
      <c r="G64" s="29"/>
      <c r="H64" s="29"/>
      <c r="I64" s="29"/>
      <c r="J64" s="29"/>
      <c r="K64" s="29"/>
      <c r="L64" s="86"/>
      <c r="M64" s="86"/>
      <c r="N64" t="s">
        <v>99</v>
      </c>
      <c r="Q64" s="86"/>
      <c r="R64" s="29"/>
      <c r="S64" s="86"/>
      <c r="T64" s="29"/>
      <c r="V64" s="2"/>
      <c r="W64" s="2"/>
      <c r="X64" s="2"/>
      <c r="Y64" s="2"/>
      <c r="Z64" s="2"/>
    </row>
    <row r="65" spans="1:26" ht="12.75">
      <c r="A65" s="2"/>
      <c r="B65" s="2"/>
      <c r="C65" s="112"/>
      <c r="D65" s="2"/>
      <c r="N65">
        <v>34035</v>
      </c>
      <c r="O65" s="111" t="s">
        <v>100</v>
      </c>
      <c r="P65" t="s">
        <v>101</v>
      </c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N66">
        <v>97875</v>
      </c>
      <c r="O66" s="111" t="s">
        <v>102</v>
      </c>
      <c r="P66" t="s">
        <v>103</v>
      </c>
      <c r="S66" s="104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O67" s="111"/>
      <c r="V67" s="2"/>
      <c r="W67" s="2"/>
      <c r="X67" s="2"/>
      <c r="Y67" s="2"/>
      <c r="Z67" s="2"/>
    </row>
    <row r="68" spans="1:16" ht="12.75">
      <c r="A68" s="2"/>
      <c r="B68" s="2"/>
      <c r="C68" s="2"/>
      <c r="D68" s="2"/>
      <c r="N68">
        <v>12857</v>
      </c>
      <c r="O68" s="111" t="s">
        <v>102</v>
      </c>
      <c r="P68" t="s">
        <v>104</v>
      </c>
    </row>
    <row r="69" spans="1:16" ht="27" customHeight="1">
      <c r="A69" s="2"/>
      <c r="B69" s="2"/>
      <c r="C69" s="2"/>
      <c r="D69" s="2"/>
      <c r="N69">
        <v>10493</v>
      </c>
      <c r="O69" s="111" t="s">
        <v>102</v>
      </c>
      <c r="P69" t="s">
        <v>105</v>
      </c>
    </row>
    <row r="70" spans="1:16" ht="12.75" customHeight="1">
      <c r="A70" s="145"/>
      <c r="B70" s="146"/>
      <c r="C70" s="146"/>
      <c r="D70" s="2"/>
      <c r="N70">
        <v>5212</v>
      </c>
      <c r="O70" t="s">
        <v>102</v>
      </c>
      <c r="P70" t="s">
        <v>106</v>
      </c>
    </row>
    <row r="71" spans="1:14" ht="12.75">
      <c r="A71" s="145"/>
      <c r="B71" s="146"/>
      <c r="C71" s="146"/>
      <c r="D71" s="2"/>
      <c r="N71">
        <f>SUM(N65:N70)</f>
        <v>160472</v>
      </c>
    </row>
    <row r="72" spans="1:14" ht="12.75">
      <c r="A72" s="2"/>
      <c r="B72" s="2"/>
      <c r="C72" s="2"/>
      <c r="D72" s="2"/>
      <c r="N72">
        <v>21491.21</v>
      </c>
    </row>
    <row r="73" spans="1:4" ht="12.75">
      <c r="A73" s="2"/>
      <c r="B73" s="2"/>
      <c r="C73" s="2"/>
      <c r="D73" s="2"/>
    </row>
    <row r="74" spans="1:14" ht="12.75">
      <c r="A74" s="2"/>
      <c r="B74" s="2"/>
      <c r="C74" s="2"/>
      <c r="D74" s="2"/>
      <c r="N74">
        <f>N71+N72</f>
        <v>181963.21</v>
      </c>
    </row>
    <row r="75" spans="1:4" ht="12.75">
      <c r="A75" s="2"/>
      <c r="B75" s="2"/>
      <c r="C75" s="2"/>
      <c r="D75" s="2"/>
    </row>
    <row r="76" spans="1:4" ht="12.75">
      <c r="A76" s="2"/>
      <c r="B76" s="2"/>
      <c r="C76" s="2"/>
      <c r="D76" s="2"/>
    </row>
    <row r="77" spans="1:4" ht="12.75">
      <c r="A77" s="2"/>
      <c r="B77" s="2"/>
      <c r="C77" s="84"/>
      <c r="D77" s="2"/>
    </row>
    <row r="78" spans="1:4" ht="12.75">
      <c r="A78" s="2"/>
      <c r="B78" s="2"/>
      <c r="C78" s="2"/>
      <c r="D78" s="2"/>
    </row>
    <row r="79" spans="1:4" ht="12.75">
      <c r="A79" s="147"/>
      <c r="B79" s="2"/>
      <c r="C79" s="2"/>
      <c r="D79" s="2"/>
    </row>
  </sheetData>
  <mergeCells count="13">
    <mergeCell ref="B40:C40"/>
    <mergeCell ref="B36:C36"/>
    <mergeCell ref="B37:C37"/>
    <mergeCell ref="B38:C38"/>
    <mergeCell ref="B39:C39"/>
    <mergeCell ref="G2:L2"/>
    <mergeCell ref="G33:L33"/>
    <mergeCell ref="A1:D1"/>
    <mergeCell ref="B35:C35"/>
    <mergeCell ref="A3:A4"/>
    <mergeCell ref="B3:B4"/>
    <mergeCell ref="C3:C4"/>
    <mergeCell ref="D3:D4"/>
  </mergeCells>
  <printOptions/>
  <pageMargins left="0.38" right="0.24" top="0.56" bottom="0.74" header="0.29" footer="0.5"/>
  <pageSetup horizontalDpi="600" verticalDpi="600" orientation="portrait" paperSize="9" r:id="rId1"/>
  <headerFooter alignWithMargins="0">
    <oddHeader>&amp;C&amp;A</oddHeader>
    <oddFooter>&amp;CСтраница &amp;P</oddFooter>
  </headerFooter>
  <rowBreaks count="1" manualBreakCount="1">
    <brk id="6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0"/>
  <sheetViews>
    <sheetView workbookViewId="0" topLeftCell="A103">
      <selection activeCell="C147" sqref="C147:C148"/>
    </sheetView>
  </sheetViews>
  <sheetFormatPr defaultColWidth="9.00390625" defaultRowHeight="12.75"/>
  <cols>
    <col min="1" max="1" width="21.00390625" style="0" customWidth="1"/>
    <col min="2" max="2" width="9.375" style="0" customWidth="1"/>
    <col min="3" max="3" width="7.375" style="0" customWidth="1"/>
    <col min="4" max="4" width="12.375" style="0" customWidth="1"/>
    <col min="5" max="5" width="11.00390625" style="0" customWidth="1"/>
    <col min="6" max="6" width="10.875" style="0" customWidth="1"/>
    <col min="7" max="7" width="9.00390625" style="0" customWidth="1"/>
    <col min="8" max="9" width="8.625" style="0" customWidth="1"/>
    <col min="10" max="10" width="8.125" style="0" customWidth="1"/>
    <col min="11" max="11" width="8.50390625" style="0" customWidth="1"/>
    <col min="15" max="15" width="2.875" style="0" customWidth="1"/>
  </cols>
  <sheetData>
    <row r="1" spans="1:12" ht="12.75">
      <c r="A1" s="169" t="s">
        <v>30</v>
      </c>
      <c r="B1" s="169"/>
      <c r="C1" s="169"/>
      <c r="D1" s="169"/>
      <c r="E1" s="169"/>
      <c r="F1" s="4"/>
      <c r="G1" s="4"/>
      <c r="H1" s="4"/>
      <c r="I1" s="4"/>
      <c r="J1" s="4"/>
      <c r="K1" s="4"/>
      <c r="L1" s="4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ht="12.75">
      <c r="A3" s="5" t="s">
        <v>19</v>
      </c>
      <c r="B3" s="5" t="s">
        <v>20</v>
      </c>
      <c r="C3" s="5" t="s">
        <v>13</v>
      </c>
      <c r="D3" s="170" t="s">
        <v>22</v>
      </c>
      <c r="E3" s="171"/>
      <c r="F3" s="5" t="s">
        <v>17</v>
      </c>
      <c r="G3" s="8" t="s">
        <v>24</v>
      </c>
      <c r="H3" s="14"/>
      <c r="I3" s="165" t="s">
        <v>26</v>
      </c>
      <c r="J3" s="165"/>
      <c r="K3" s="165" t="s">
        <v>27</v>
      </c>
      <c r="L3" s="165"/>
      <c r="M3" s="167" t="s">
        <v>32</v>
      </c>
      <c r="N3" s="168"/>
    </row>
    <row r="4" spans="1:15" ht="12.75">
      <c r="A4" s="7" t="s">
        <v>21</v>
      </c>
      <c r="B4" s="7" t="s">
        <v>28</v>
      </c>
      <c r="C4" s="7" t="s">
        <v>29</v>
      </c>
      <c r="D4" s="6" t="s">
        <v>11</v>
      </c>
      <c r="E4" s="6" t="s">
        <v>12</v>
      </c>
      <c r="F4" s="7" t="s">
        <v>18</v>
      </c>
      <c r="G4" s="6" t="s">
        <v>25</v>
      </c>
      <c r="H4" s="6" t="s">
        <v>23</v>
      </c>
      <c r="I4" s="6" t="s">
        <v>25</v>
      </c>
      <c r="J4" s="6" t="s">
        <v>23</v>
      </c>
      <c r="K4" s="6" t="s">
        <v>25</v>
      </c>
      <c r="L4" s="6" t="s">
        <v>23</v>
      </c>
      <c r="M4" s="6" t="s">
        <v>25</v>
      </c>
      <c r="N4" s="6" t="s">
        <v>23</v>
      </c>
      <c r="O4" t="s">
        <v>45</v>
      </c>
    </row>
    <row r="5" spans="1:14" ht="12.75">
      <c r="A5" s="13"/>
      <c r="B5" s="13"/>
      <c r="C5" s="15"/>
      <c r="D5" s="13"/>
      <c r="E5" s="6"/>
      <c r="F5" s="6"/>
      <c r="G5" s="6"/>
      <c r="H5" s="6"/>
      <c r="I5" s="6"/>
      <c r="J5" s="6"/>
      <c r="K5" s="6"/>
      <c r="L5" s="6"/>
      <c r="M5" s="17"/>
      <c r="N5" s="17"/>
    </row>
    <row r="6" spans="1:15" ht="12.75">
      <c r="A6" s="6" t="s">
        <v>3</v>
      </c>
      <c r="B6" s="6">
        <v>4050</v>
      </c>
      <c r="C6" s="6">
        <v>2.15</v>
      </c>
      <c r="D6" s="6">
        <v>8717.79</v>
      </c>
      <c r="E6" s="6">
        <v>10287</v>
      </c>
      <c r="F6" s="6">
        <v>7571.15</v>
      </c>
      <c r="G6" s="6">
        <v>12920.54</v>
      </c>
      <c r="H6" s="6">
        <v>2605.37</v>
      </c>
      <c r="I6" s="6">
        <v>2083.17</v>
      </c>
      <c r="J6" s="6">
        <v>2703</v>
      </c>
      <c r="K6" s="6">
        <v>341.02</v>
      </c>
      <c r="L6" s="6">
        <v>237</v>
      </c>
      <c r="M6" s="17">
        <v>15344.73</v>
      </c>
      <c r="N6" s="17">
        <v>5545</v>
      </c>
      <c r="O6">
        <v>36</v>
      </c>
    </row>
    <row r="7" spans="1:14" ht="12.75">
      <c r="A7" s="6" t="s">
        <v>39</v>
      </c>
      <c r="B7" s="6">
        <v>463</v>
      </c>
      <c r="C7" s="6">
        <v>1.3</v>
      </c>
      <c r="D7" s="6">
        <v>601.9</v>
      </c>
      <c r="E7" s="6">
        <v>710.24</v>
      </c>
      <c r="F7" s="6">
        <v>553.88</v>
      </c>
      <c r="G7" s="6"/>
      <c r="H7" s="6"/>
      <c r="I7" s="6"/>
      <c r="J7" s="6"/>
      <c r="K7" s="6"/>
      <c r="L7" s="6"/>
      <c r="M7" s="17"/>
      <c r="N7" s="17"/>
    </row>
    <row r="8" spans="1:14" ht="12.75">
      <c r="A8" s="6" t="s">
        <v>37</v>
      </c>
      <c r="B8" s="6">
        <v>2093.55</v>
      </c>
      <c r="C8" s="6">
        <v>3.55</v>
      </c>
      <c r="D8" s="6">
        <v>7432.1</v>
      </c>
      <c r="E8" s="6">
        <v>8769.88</v>
      </c>
      <c r="F8" s="6">
        <v>8769.88</v>
      </c>
      <c r="G8" s="6"/>
      <c r="H8" s="6"/>
      <c r="I8" s="6"/>
      <c r="J8" s="6"/>
      <c r="K8" s="6"/>
      <c r="L8" s="6"/>
      <c r="M8" s="17"/>
      <c r="N8" s="17"/>
    </row>
    <row r="9" spans="1:14" ht="12.75">
      <c r="A9" s="6" t="s">
        <v>36</v>
      </c>
      <c r="B9" s="6"/>
      <c r="C9" s="6">
        <v>5.9</v>
      </c>
      <c r="D9" s="6"/>
      <c r="E9" s="6"/>
      <c r="F9" s="6">
        <v>96288</v>
      </c>
      <c r="G9" s="6"/>
      <c r="H9" s="6"/>
      <c r="I9" s="6"/>
      <c r="J9" s="6"/>
      <c r="K9" s="6"/>
      <c r="L9" s="6"/>
      <c r="M9" s="17"/>
      <c r="N9" s="17"/>
    </row>
    <row r="10" spans="1:15" ht="12.75">
      <c r="A10" s="6" t="s">
        <v>1</v>
      </c>
      <c r="B10" s="6">
        <v>5628.6</v>
      </c>
      <c r="C10" s="6">
        <v>3</v>
      </c>
      <c r="D10" s="6">
        <v>16885.8</v>
      </c>
      <c r="E10" s="6">
        <v>16885.8</v>
      </c>
      <c r="F10" s="6">
        <v>0</v>
      </c>
      <c r="G10" s="6">
        <v>26119.58</v>
      </c>
      <c r="H10" s="6">
        <v>3893.56</v>
      </c>
      <c r="I10" s="6">
        <v>2103.75</v>
      </c>
      <c r="J10" s="6">
        <v>2729</v>
      </c>
      <c r="K10" s="6">
        <v>1205.94</v>
      </c>
      <c r="L10" s="6">
        <v>839</v>
      </c>
      <c r="M10" s="17">
        <v>29429.27</v>
      </c>
      <c r="N10" s="17">
        <v>7462</v>
      </c>
      <c r="O10">
        <v>25</v>
      </c>
    </row>
    <row r="11" spans="1:14" ht="12.75">
      <c r="A11" s="6" t="s">
        <v>38</v>
      </c>
      <c r="B11" s="6">
        <v>1276.2</v>
      </c>
      <c r="C11" s="6">
        <v>4.45</v>
      </c>
      <c r="D11" s="6">
        <v>5679.09</v>
      </c>
      <c r="E11" s="6">
        <v>5679.09</v>
      </c>
      <c r="F11" s="6">
        <v>5679.09</v>
      </c>
      <c r="G11" s="6"/>
      <c r="H11" s="6"/>
      <c r="I11" s="6"/>
      <c r="J11" s="6"/>
      <c r="K11" s="6"/>
      <c r="L11" s="6"/>
      <c r="M11" s="17"/>
      <c r="N11" s="17"/>
    </row>
    <row r="12" spans="1:15" ht="12.75">
      <c r="A12" s="6" t="s">
        <v>35</v>
      </c>
      <c r="B12" s="6">
        <v>60687.88</v>
      </c>
      <c r="C12" s="6">
        <v>4.16</v>
      </c>
      <c r="D12" s="6">
        <v>252461.58</v>
      </c>
      <c r="E12" s="6">
        <v>297904.66</v>
      </c>
      <c r="F12" s="6">
        <v>297904.66</v>
      </c>
      <c r="G12" s="6">
        <f aca="true" t="shared" si="0" ref="G12:M12">SUM(G13:G14)</f>
        <v>353213.19999999995</v>
      </c>
      <c r="H12" s="6">
        <f t="shared" si="0"/>
        <v>163402.87</v>
      </c>
      <c r="I12" s="6">
        <f t="shared" si="0"/>
        <v>58641.71000000001</v>
      </c>
      <c r="J12" s="6">
        <v>76082</v>
      </c>
      <c r="K12" s="6">
        <f t="shared" si="0"/>
        <v>24469.41</v>
      </c>
      <c r="L12" s="6">
        <f t="shared" si="0"/>
        <v>17022</v>
      </c>
      <c r="M12" s="17">
        <f t="shared" si="0"/>
        <v>436324.68</v>
      </c>
      <c r="N12" s="17">
        <v>256407</v>
      </c>
      <c r="O12">
        <v>59</v>
      </c>
    </row>
    <row r="13" spans="1:15" ht="12.75">
      <c r="A13" s="6" t="s">
        <v>33</v>
      </c>
      <c r="B13" s="6">
        <v>43983.22</v>
      </c>
      <c r="C13" s="6"/>
      <c r="D13" s="6">
        <v>182971.2</v>
      </c>
      <c r="E13" s="6">
        <v>215904.83</v>
      </c>
      <c r="F13" s="6">
        <v>215904.83</v>
      </c>
      <c r="G13" s="6">
        <v>280331.91</v>
      </c>
      <c r="H13" s="6">
        <v>111629.07</v>
      </c>
      <c r="I13" s="6">
        <v>46288.8</v>
      </c>
      <c r="J13" s="6">
        <v>60055</v>
      </c>
      <c r="K13" s="6">
        <v>21412.97</v>
      </c>
      <c r="L13" s="6">
        <v>14896</v>
      </c>
      <c r="M13" s="17">
        <v>348033.68</v>
      </c>
      <c r="N13" s="17">
        <v>186580</v>
      </c>
      <c r="O13">
        <v>54</v>
      </c>
    </row>
    <row r="14" spans="1:15" ht="12.75">
      <c r="A14" s="6" t="s">
        <v>34</v>
      </c>
      <c r="B14" s="6">
        <v>16704.64</v>
      </c>
      <c r="C14" s="6"/>
      <c r="D14" s="6">
        <v>69491.38</v>
      </c>
      <c r="E14" s="6">
        <v>81999.83</v>
      </c>
      <c r="F14" s="6">
        <v>81999.83</v>
      </c>
      <c r="G14" s="6">
        <v>72881.29</v>
      </c>
      <c r="H14" s="6">
        <v>51773.8</v>
      </c>
      <c r="I14" s="6">
        <v>12352.91</v>
      </c>
      <c r="J14" s="6">
        <v>16027</v>
      </c>
      <c r="K14" s="6">
        <v>3056.44</v>
      </c>
      <c r="L14" s="6">
        <v>2126</v>
      </c>
      <c r="M14" s="17">
        <v>88291</v>
      </c>
      <c r="N14" s="17">
        <v>69827</v>
      </c>
      <c r="O14">
        <v>79</v>
      </c>
    </row>
    <row r="15" spans="1:14" ht="12.75">
      <c r="A15" s="6" t="s">
        <v>4</v>
      </c>
      <c r="B15" s="6">
        <v>29520</v>
      </c>
      <c r="C15" s="6">
        <v>4.16</v>
      </c>
      <c r="D15" s="6"/>
      <c r="E15" s="6"/>
      <c r="F15" s="6"/>
      <c r="G15" s="6"/>
      <c r="H15" s="6"/>
      <c r="I15" s="6"/>
      <c r="J15" s="6"/>
      <c r="K15" s="6"/>
      <c r="L15" s="6"/>
      <c r="M15" s="17"/>
      <c r="N15" s="17"/>
    </row>
    <row r="16" spans="1:14" ht="12.75">
      <c r="A16" s="13" t="s">
        <v>5</v>
      </c>
      <c r="B16" s="13">
        <v>67421.24</v>
      </c>
      <c r="C16" s="13">
        <v>4.05</v>
      </c>
      <c r="D16" s="13">
        <v>273056.02</v>
      </c>
      <c r="E16" s="13">
        <v>322206.1</v>
      </c>
      <c r="F16" s="13">
        <v>73723.02</v>
      </c>
      <c r="G16" s="6"/>
      <c r="H16" s="6"/>
      <c r="I16" s="6"/>
      <c r="J16" s="6"/>
      <c r="K16" s="6"/>
      <c r="L16" s="6"/>
      <c r="M16" s="17"/>
      <c r="N16" s="17"/>
    </row>
    <row r="17" spans="1:15" ht="12.75">
      <c r="A17" s="6" t="s">
        <v>40</v>
      </c>
      <c r="B17" s="6">
        <v>4152.45</v>
      </c>
      <c r="C17" s="6"/>
      <c r="D17" s="6">
        <v>16808.4</v>
      </c>
      <c r="E17" s="6">
        <v>19834</v>
      </c>
      <c r="F17" s="6">
        <v>4540.58</v>
      </c>
      <c r="G17" s="6">
        <v>1798</v>
      </c>
      <c r="H17" s="6">
        <v>12308</v>
      </c>
      <c r="I17" s="6">
        <v>3791</v>
      </c>
      <c r="J17" s="6">
        <v>4918</v>
      </c>
      <c r="K17" s="6">
        <v>1181</v>
      </c>
      <c r="L17" s="6">
        <v>751</v>
      </c>
      <c r="M17" s="17">
        <v>22170</v>
      </c>
      <c r="N17" s="17">
        <v>17977</v>
      </c>
      <c r="O17">
        <v>81</v>
      </c>
    </row>
    <row r="18" spans="1:15" ht="12.75">
      <c r="A18" s="6" t="s">
        <v>42</v>
      </c>
      <c r="B18" s="6">
        <v>3127.5</v>
      </c>
      <c r="C18" s="6"/>
      <c r="D18" s="6">
        <v>12666.38</v>
      </c>
      <c r="E18" s="6">
        <v>14946.32</v>
      </c>
      <c r="F18" s="6">
        <v>3419.82</v>
      </c>
      <c r="G18" s="6">
        <v>13462</v>
      </c>
      <c r="H18" s="6">
        <v>10447</v>
      </c>
      <c r="I18" s="6">
        <v>2628</v>
      </c>
      <c r="J18" s="6">
        <v>3410</v>
      </c>
      <c r="K18" s="6">
        <v>436</v>
      </c>
      <c r="L18" s="6">
        <v>303</v>
      </c>
      <c r="M18" s="17">
        <v>16526</v>
      </c>
      <c r="N18" s="17">
        <v>14160</v>
      </c>
      <c r="O18">
        <v>86</v>
      </c>
    </row>
    <row r="19" spans="1:14" ht="12.75">
      <c r="A19" s="6" t="s">
        <v>43</v>
      </c>
      <c r="B19" s="6">
        <v>3276.74</v>
      </c>
      <c r="C19" s="6"/>
      <c r="D19" s="6">
        <v>13270.81</v>
      </c>
      <c r="E19" s="6">
        <v>15659.56</v>
      </c>
      <c r="F19" s="6">
        <v>3583.01</v>
      </c>
      <c r="G19" s="6"/>
      <c r="H19" s="6"/>
      <c r="I19" s="6"/>
      <c r="J19" s="6"/>
      <c r="K19" s="6"/>
      <c r="L19" s="6"/>
      <c r="M19" s="17"/>
      <c r="N19" s="17"/>
    </row>
    <row r="20" spans="1:14" ht="12.75">
      <c r="A20" s="6" t="s">
        <v>44</v>
      </c>
      <c r="B20" s="6">
        <v>56864.55</v>
      </c>
      <c r="C20" s="6"/>
      <c r="D20" s="6">
        <v>230301.43</v>
      </c>
      <c r="E20" s="6">
        <v>271755.69</v>
      </c>
      <c r="F20" s="6">
        <v>62179.61</v>
      </c>
      <c r="G20" s="6"/>
      <c r="H20" s="6"/>
      <c r="I20" s="6"/>
      <c r="J20" s="6"/>
      <c r="K20" s="6"/>
      <c r="L20" s="6"/>
      <c r="M20" s="17"/>
      <c r="N20" s="17"/>
    </row>
    <row r="21" spans="1:14" ht="12.75">
      <c r="A21" s="13" t="s">
        <v>6</v>
      </c>
      <c r="B21" s="13">
        <v>31868.65</v>
      </c>
      <c r="C21" s="13">
        <v>4.05</v>
      </c>
      <c r="D21" s="13">
        <v>129065.61</v>
      </c>
      <c r="E21" s="13">
        <v>152297.42</v>
      </c>
      <c r="F21" s="13">
        <v>146000.29</v>
      </c>
      <c r="G21" s="6"/>
      <c r="H21" s="6"/>
      <c r="I21" s="6"/>
      <c r="J21" s="6"/>
      <c r="K21" s="6"/>
      <c r="L21" s="6"/>
      <c r="M21" s="17"/>
      <c r="N21" s="17"/>
    </row>
    <row r="22" spans="1:15" ht="12.75">
      <c r="A22" s="6" t="s">
        <v>41</v>
      </c>
      <c r="B22" s="6">
        <v>1956.6</v>
      </c>
      <c r="C22" s="6">
        <v>1956.6</v>
      </c>
      <c r="D22" s="6">
        <v>7924.23</v>
      </c>
      <c r="E22" s="6">
        <v>9350.59</v>
      </c>
      <c r="F22" s="6">
        <v>8963.97</v>
      </c>
      <c r="G22" s="6">
        <v>8882</v>
      </c>
      <c r="H22" s="6">
        <v>4205</v>
      </c>
      <c r="I22" s="6">
        <v>1579</v>
      </c>
      <c r="J22" s="6">
        <v>2049</v>
      </c>
      <c r="K22" s="6">
        <v>615</v>
      </c>
      <c r="L22" s="6">
        <v>428</v>
      </c>
      <c r="M22" s="17">
        <v>11076</v>
      </c>
      <c r="N22" s="17">
        <v>6682</v>
      </c>
      <c r="O22">
        <v>60</v>
      </c>
    </row>
    <row r="23" spans="1:15" ht="12.75">
      <c r="A23" s="6" t="s">
        <v>42</v>
      </c>
      <c r="B23" s="6">
        <v>1579.95</v>
      </c>
      <c r="C23" s="6">
        <v>1579.95</v>
      </c>
      <c r="D23" s="6">
        <v>6398.8</v>
      </c>
      <c r="E23" s="6">
        <v>7550.58</v>
      </c>
      <c r="F23" s="6">
        <v>7238.4</v>
      </c>
      <c r="G23" s="6">
        <v>7402</v>
      </c>
      <c r="H23" s="6">
        <v>4945</v>
      </c>
      <c r="I23" s="6">
        <v>853</v>
      </c>
      <c r="J23" s="6">
        <v>1107</v>
      </c>
      <c r="K23" s="6">
        <v>203</v>
      </c>
      <c r="L23" s="6">
        <v>140</v>
      </c>
      <c r="M23" s="17">
        <v>8459</v>
      </c>
      <c r="N23" s="17">
        <v>6192</v>
      </c>
      <c r="O23">
        <v>73</v>
      </c>
    </row>
    <row r="24" spans="1:14" ht="12.75">
      <c r="A24" s="6" t="s">
        <v>43</v>
      </c>
      <c r="B24" s="6">
        <v>292.6</v>
      </c>
      <c r="C24" s="6">
        <v>292.6</v>
      </c>
      <c r="D24" s="6">
        <v>1185.03</v>
      </c>
      <c r="E24" s="6">
        <v>1398.34</v>
      </c>
      <c r="F24" s="6">
        <v>1340.52</v>
      </c>
      <c r="G24" s="6"/>
      <c r="H24" s="6"/>
      <c r="I24" s="6"/>
      <c r="J24" s="6"/>
      <c r="K24" s="6"/>
      <c r="L24" s="6"/>
      <c r="M24" s="17"/>
      <c r="N24" s="17"/>
    </row>
    <row r="25" spans="1:14" ht="12.75">
      <c r="A25" s="6" t="s">
        <v>44</v>
      </c>
      <c r="B25" s="6">
        <v>28038.9</v>
      </c>
      <c r="C25" s="6">
        <v>28038.9</v>
      </c>
      <c r="D25" s="6">
        <v>1135575.45</v>
      </c>
      <c r="E25" s="6">
        <v>133997.91</v>
      </c>
      <c r="F25" s="6">
        <v>128457.4</v>
      </c>
      <c r="G25" s="6"/>
      <c r="H25" s="6"/>
      <c r="I25" s="6"/>
      <c r="J25" s="6"/>
      <c r="K25" s="6"/>
      <c r="L25" s="6"/>
      <c r="M25" s="17"/>
      <c r="N25" s="17"/>
    </row>
    <row r="26" spans="1:14" ht="12.75">
      <c r="A26" s="6" t="s">
        <v>16</v>
      </c>
      <c r="B26" s="6"/>
      <c r="C26" s="6"/>
      <c r="D26" s="6">
        <v>5211.51</v>
      </c>
      <c r="E26" s="6">
        <v>6149.58</v>
      </c>
      <c r="F26" s="6">
        <v>566.5</v>
      </c>
      <c r="G26" s="6"/>
      <c r="H26" s="6"/>
      <c r="I26" s="6"/>
      <c r="J26" s="6"/>
      <c r="K26" s="6"/>
      <c r="L26" s="6"/>
      <c r="M26" s="17"/>
      <c r="N26" s="17"/>
    </row>
    <row r="27" spans="1:14" ht="12.75">
      <c r="A27" s="6" t="s">
        <v>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7"/>
      <c r="N27" s="17"/>
    </row>
    <row r="28" spans="1:14" ht="12.75">
      <c r="A28" s="6" t="s">
        <v>8</v>
      </c>
      <c r="B28" s="6" t="s">
        <v>9</v>
      </c>
      <c r="C28" s="6"/>
      <c r="D28" s="6">
        <v>5556.44</v>
      </c>
      <c r="E28" s="6">
        <v>6556.6</v>
      </c>
      <c r="F28" s="6">
        <v>6285.5</v>
      </c>
      <c r="G28" s="6"/>
      <c r="H28" s="6"/>
      <c r="I28" s="6"/>
      <c r="J28" s="6"/>
      <c r="K28" s="6"/>
      <c r="L28" s="6"/>
      <c r="M28" s="17"/>
      <c r="N28" s="17"/>
    </row>
    <row r="29" spans="1:14" ht="12.75">
      <c r="A29" s="6"/>
      <c r="B29" s="6" t="s">
        <v>10</v>
      </c>
      <c r="C29" s="6"/>
      <c r="D29" s="6">
        <v>1330.02</v>
      </c>
      <c r="E29" s="6">
        <v>1330.02</v>
      </c>
      <c r="F29" s="6">
        <v>1330.02</v>
      </c>
      <c r="G29" s="6"/>
      <c r="H29" s="6"/>
      <c r="I29" s="6"/>
      <c r="J29" s="6"/>
      <c r="K29" s="6"/>
      <c r="L29" s="6"/>
      <c r="M29" s="17"/>
      <c r="N29" s="17"/>
    </row>
    <row r="30" spans="1:14" ht="12.75">
      <c r="A30" s="6" t="s">
        <v>2</v>
      </c>
      <c r="B30" s="6">
        <v>203009</v>
      </c>
      <c r="C30" s="6"/>
      <c r="D30" s="6">
        <v>705997.86</v>
      </c>
      <c r="E30" s="6">
        <v>828776.39</v>
      </c>
      <c r="F30" s="6">
        <v>644671.99</v>
      </c>
      <c r="G30" s="6">
        <v>1067000</v>
      </c>
      <c r="H30" s="6">
        <v>830162</v>
      </c>
      <c r="I30" s="6">
        <v>156550</v>
      </c>
      <c r="J30" s="6">
        <v>203107</v>
      </c>
      <c r="K30" s="6">
        <v>64400</v>
      </c>
      <c r="L30" s="6">
        <v>44800</v>
      </c>
      <c r="M30" s="17">
        <v>1287950</v>
      </c>
      <c r="N30" s="17">
        <v>1078069</v>
      </c>
    </row>
    <row r="31" spans="1:28" ht="12.75">
      <c r="A31" s="13" t="s">
        <v>31</v>
      </c>
      <c r="B31" s="17"/>
      <c r="C31" s="17"/>
      <c r="D31" s="17"/>
      <c r="E31" s="17"/>
      <c r="F31" s="13">
        <v>78</v>
      </c>
      <c r="G31" s="17"/>
      <c r="H31" s="13">
        <v>78</v>
      </c>
      <c r="I31" s="17"/>
      <c r="J31" s="13">
        <v>129.7</v>
      </c>
      <c r="K31" s="17"/>
      <c r="L31" s="13">
        <v>69.6</v>
      </c>
      <c r="M31" s="17"/>
      <c r="N31" s="17">
        <v>84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3:28" ht="12.75"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3:28" ht="12.75"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2.75">
      <c r="A34" s="1" t="s">
        <v>14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1" t="s">
        <v>15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3:28" ht="12.75"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130" ht="12.75">
      <c r="A130" s="2"/>
    </row>
  </sheetData>
  <mergeCells count="5">
    <mergeCell ref="M3:N3"/>
    <mergeCell ref="A1:E1"/>
    <mergeCell ref="D3:E3"/>
    <mergeCell ref="I3:J3"/>
    <mergeCell ref="K3:L3"/>
  </mergeCells>
  <printOptions/>
  <pageMargins left="0.29" right="0.24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I1">
      <selection activeCell="I24" sqref="A24:IV24"/>
    </sheetView>
  </sheetViews>
  <sheetFormatPr defaultColWidth="9.00390625" defaultRowHeight="12.75"/>
  <cols>
    <col min="1" max="1" width="19.00390625" style="0" customWidth="1"/>
    <col min="2" max="2" width="9.50390625" style="0" customWidth="1"/>
    <col min="3" max="3" width="7.50390625" style="0" customWidth="1"/>
    <col min="4" max="4" width="12.50390625" style="0" customWidth="1"/>
    <col min="5" max="5" width="10.875" style="0" customWidth="1"/>
    <col min="6" max="6" width="10.50390625" style="0" customWidth="1"/>
    <col min="7" max="7" width="9.625" style="0" customWidth="1"/>
    <col min="8" max="10" width="9.50390625" style="0" customWidth="1"/>
    <col min="11" max="11" width="8.00390625" style="0" customWidth="1"/>
    <col min="12" max="12" width="8.50390625" style="0" customWidth="1"/>
    <col min="13" max="13" width="8.625" style="0" customWidth="1"/>
    <col min="14" max="14" width="8.50390625" style="0" customWidth="1"/>
    <col min="15" max="15" width="3.625" style="0" customWidth="1"/>
  </cols>
  <sheetData>
    <row r="1" spans="1:15" ht="12.75">
      <c r="A1" s="173"/>
      <c r="B1" s="173"/>
      <c r="C1" s="173"/>
      <c r="D1" s="173"/>
      <c r="E1" s="173"/>
      <c r="F1" s="10"/>
      <c r="G1" s="10"/>
      <c r="H1" s="10"/>
      <c r="I1" s="10"/>
      <c r="J1" s="10"/>
      <c r="K1" s="10"/>
      <c r="L1" s="10"/>
      <c r="M1" s="2"/>
      <c r="N1" s="2"/>
      <c r="O1" s="2"/>
    </row>
    <row r="2" spans="1:1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"/>
      <c r="N2" s="2"/>
      <c r="O2" s="2"/>
    </row>
    <row r="3" spans="1:15" ht="12.75">
      <c r="A3" s="11"/>
      <c r="B3" s="11"/>
      <c r="C3" s="11"/>
      <c r="D3" s="174"/>
      <c r="E3" s="174"/>
      <c r="F3" s="11"/>
      <c r="G3" s="10"/>
      <c r="H3" s="10"/>
      <c r="I3" s="174"/>
      <c r="J3" s="174"/>
      <c r="K3" s="174"/>
      <c r="L3" s="174"/>
      <c r="M3" s="172"/>
      <c r="N3" s="172"/>
      <c r="O3" s="2"/>
    </row>
    <row r="4" spans="1:15" ht="12.75">
      <c r="A4" s="11"/>
      <c r="B4" s="11"/>
      <c r="C4" s="11"/>
      <c r="D4" s="10"/>
      <c r="E4" s="10"/>
      <c r="F4" s="11"/>
      <c r="G4" s="10"/>
      <c r="H4" s="10"/>
      <c r="I4" s="10"/>
      <c r="J4" s="10"/>
      <c r="K4" s="10"/>
      <c r="L4" s="10"/>
      <c r="M4" s="10"/>
      <c r="N4" s="10"/>
      <c r="O4" s="2"/>
    </row>
    <row r="5" spans="1:1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  <c r="N5" s="2"/>
      <c r="O5" s="2"/>
    </row>
    <row r="6" spans="1:15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  <c r="N6" s="2"/>
      <c r="O6" s="2"/>
    </row>
    <row r="7" spans="1:15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2"/>
      <c r="N7" s="2"/>
      <c r="O7" s="2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2"/>
      <c r="N8" s="2"/>
      <c r="O8" s="2"/>
    </row>
    <row r="9" spans="1:15" ht="12.75">
      <c r="A9" s="12"/>
      <c r="B9" s="12"/>
      <c r="C9" s="12"/>
      <c r="D9" s="12"/>
      <c r="E9" s="12"/>
      <c r="F9" s="12"/>
      <c r="G9" s="10"/>
      <c r="H9" s="10"/>
      <c r="I9" s="10"/>
      <c r="J9" s="10"/>
      <c r="K9" s="10"/>
      <c r="L9" s="10"/>
      <c r="M9" s="2"/>
      <c r="N9" s="2"/>
      <c r="O9" s="2"/>
    </row>
    <row r="10" spans="1:15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"/>
      <c r="N10" s="2"/>
      <c r="O10" s="2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"/>
      <c r="N11" s="2"/>
      <c r="O11" s="2"/>
    </row>
    <row r="12" spans="1:15" ht="12.75">
      <c r="A12" s="12"/>
      <c r="B12" s="12"/>
      <c r="C12" s="12"/>
      <c r="D12" s="12"/>
      <c r="E12" s="12"/>
      <c r="F12" s="12"/>
      <c r="G12" s="10"/>
      <c r="H12" s="10"/>
      <c r="I12" s="10"/>
      <c r="J12" s="10"/>
      <c r="K12" s="10"/>
      <c r="L12" s="10"/>
      <c r="M12" s="2"/>
      <c r="N12" s="2"/>
      <c r="O12" s="2"/>
    </row>
    <row r="13" spans="1:15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"/>
      <c r="N13" s="2"/>
      <c r="O13" s="2"/>
    </row>
    <row r="14" spans="1:15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"/>
      <c r="N14" s="2"/>
      <c r="O14" s="2"/>
    </row>
    <row r="15" spans="1:15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2"/>
      <c r="N15" s="2"/>
      <c r="O15" s="2"/>
    </row>
    <row r="16" spans="1:15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"/>
      <c r="N16" s="2"/>
      <c r="O16" s="2"/>
    </row>
    <row r="17" spans="1:15" ht="12.75">
      <c r="A17" s="12"/>
      <c r="B17" s="12"/>
      <c r="C17" s="12"/>
      <c r="D17" s="12"/>
      <c r="E17" s="10"/>
      <c r="F17" s="10"/>
      <c r="G17" s="10"/>
      <c r="H17" s="10"/>
      <c r="I17" s="10"/>
      <c r="J17" s="10"/>
      <c r="K17" s="10"/>
      <c r="L17" s="10"/>
      <c r="M17" s="2"/>
      <c r="N17" s="2"/>
      <c r="O17" s="2"/>
    </row>
    <row r="18" spans="1:15" ht="12.75">
      <c r="A18" s="12"/>
      <c r="B18" s="2"/>
      <c r="C18" s="2"/>
      <c r="D18" s="2"/>
      <c r="E18" s="2"/>
      <c r="F18" s="12"/>
      <c r="G18" s="2"/>
      <c r="H18" s="12"/>
      <c r="I18" s="2"/>
      <c r="J18" s="12"/>
      <c r="K18" s="2"/>
      <c r="L18" s="12"/>
      <c r="M18" s="2"/>
      <c r="N18" s="2"/>
      <c r="O18" s="2"/>
    </row>
    <row r="19" spans="1:15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1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s="1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</sheetData>
  <mergeCells count="5">
    <mergeCell ref="M3:N3"/>
    <mergeCell ref="A1:E1"/>
    <mergeCell ref="D3:E3"/>
    <mergeCell ref="I3:J3"/>
    <mergeCell ref="K3:L3"/>
  </mergeCells>
  <printOptions/>
  <pageMargins left="0.21" right="0.21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2" sqref="K2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23">
      <selection activeCell="C33" sqref="C33"/>
    </sheetView>
  </sheetViews>
  <sheetFormatPr defaultColWidth="9.00390625" defaultRowHeight="12.75"/>
  <cols>
    <col min="1" max="1" width="20.125" style="0" customWidth="1"/>
    <col min="4" max="4" width="12.50390625" style="0" customWidth="1"/>
    <col min="5" max="5" width="11.50390625" style="0" customWidth="1"/>
    <col min="6" max="6" width="9.625" style="0" customWidth="1"/>
    <col min="7" max="8" width="9.375" style="0" customWidth="1"/>
    <col min="9" max="10" width="8.125" style="0" customWidth="1"/>
    <col min="12" max="12" width="8.50390625" style="0" customWidth="1"/>
    <col min="13" max="13" width="8.375" style="0" customWidth="1"/>
    <col min="15" max="15" width="4.00390625" style="0" customWidth="1"/>
  </cols>
  <sheetData>
    <row r="1" spans="1:15" ht="12.75">
      <c r="A1" s="175"/>
      <c r="B1" s="175"/>
      <c r="C1" s="175"/>
      <c r="D1" s="175"/>
      <c r="E1" s="175"/>
      <c r="F1" s="10"/>
      <c r="G1" s="10"/>
      <c r="H1" s="10"/>
      <c r="I1" s="10"/>
      <c r="J1" s="10"/>
      <c r="K1" s="10"/>
      <c r="L1" s="10"/>
      <c r="M1" s="2"/>
      <c r="N1" s="2"/>
      <c r="O1" s="2"/>
    </row>
    <row r="2" spans="1:15" ht="12.75">
      <c r="A2" s="16"/>
      <c r="B2" s="16"/>
      <c r="C2" s="16"/>
      <c r="D2" s="16"/>
      <c r="E2" s="16"/>
      <c r="F2" s="10"/>
      <c r="G2" s="10"/>
      <c r="H2" s="10"/>
      <c r="I2" s="10"/>
      <c r="J2" s="10"/>
      <c r="K2" s="10"/>
      <c r="L2" s="10"/>
      <c r="M2" s="2"/>
      <c r="N2" s="2"/>
      <c r="O2" s="2"/>
    </row>
    <row r="3" spans="1:15" ht="12.75">
      <c r="A3" s="11"/>
      <c r="B3" s="11"/>
      <c r="C3" s="11"/>
      <c r="D3" s="174"/>
      <c r="E3" s="174"/>
      <c r="F3" s="11"/>
      <c r="G3" s="10"/>
      <c r="H3" s="10"/>
      <c r="I3" s="174"/>
      <c r="J3" s="174"/>
      <c r="K3" s="174"/>
      <c r="L3" s="174"/>
      <c r="M3" s="172"/>
      <c r="N3" s="172"/>
      <c r="O3" s="2"/>
    </row>
    <row r="4" spans="1:15" ht="12.75">
      <c r="A4" s="11"/>
      <c r="B4" s="11"/>
      <c r="C4" s="11"/>
      <c r="D4" s="10"/>
      <c r="E4" s="10"/>
      <c r="F4" s="11"/>
      <c r="G4" s="10"/>
      <c r="H4" s="10"/>
      <c r="I4" s="10"/>
      <c r="J4" s="10"/>
      <c r="K4" s="10"/>
      <c r="L4" s="10"/>
      <c r="M4" s="10"/>
      <c r="N4" s="10"/>
      <c r="O4" s="2"/>
    </row>
    <row r="5" spans="1:15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  <c r="N5" s="2"/>
      <c r="O5" s="2"/>
    </row>
    <row r="6" spans="1:15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  <c r="N6" s="2"/>
      <c r="O6" s="2"/>
    </row>
    <row r="7" spans="1:15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2"/>
      <c r="N7" s="2"/>
      <c r="O7" s="2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2"/>
      <c r="N8" s="2"/>
      <c r="O8" s="2"/>
    </row>
    <row r="9" spans="1:15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  <c r="O9" s="2"/>
    </row>
    <row r="10" spans="1:15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2"/>
      <c r="N10" s="2"/>
      <c r="O10" s="2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2"/>
      <c r="N11" s="2"/>
      <c r="O11" s="2"/>
    </row>
    <row r="12" spans="1:1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"/>
      <c r="N12" s="2"/>
      <c r="O12" s="2"/>
    </row>
    <row r="13" spans="1:15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2"/>
      <c r="N13" s="2"/>
      <c r="O13" s="2"/>
    </row>
    <row r="14" spans="1:15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"/>
      <c r="N14" s="2"/>
      <c r="O14" s="2"/>
    </row>
    <row r="15" spans="1:15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2"/>
      <c r="N15" s="2"/>
      <c r="O15" s="2"/>
    </row>
    <row r="16" spans="1:15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"/>
      <c r="N16" s="2"/>
      <c r="O16" s="2"/>
    </row>
    <row r="17" spans="1:15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"/>
      <c r="N17" s="2"/>
      <c r="O17" s="2"/>
    </row>
    <row r="18" spans="1:15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"/>
      <c r="N18" s="2"/>
      <c r="O18" s="2"/>
    </row>
    <row r="19" spans="1:15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"/>
      <c r="N19" s="2"/>
      <c r="O19" s="2"/>
    </row>
    <row r="20" spans="1:1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2"/>
      <c r="N20" s="2"/>
      <c r="O20" s="2"/>
    </row>
    <row r="21" spans="1:1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2"/>
      <c r="N21" s="2"/>
      <c r="O21" s="2"/>
    </row>
    <row r="22" spans="1:15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2"/>
      <c r="N22" s="2"/>
      <c r="O22" s="2"/>
    </row>
    <row r="23" spans="1:1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"/>
      <c r="N23" s="2"/>
      <c r="O23" s="2"/>
    </row>
    <row r="24" spans="1:15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2"/>
      <c r="N24" s="2"/>
      <c r="O24" s="2"/>
    </row>
    <row r="25" spans="1:15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"/>
      <c r="N25" s="2"/>
      <c r="O25" s="2"/>
    </row>
    <row r="26" spans="1:1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"/>
      <c r="N26" s="2"/>
      <c r="O26" s="2"/>
    </row>
    <row r="27" spans="1:1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"/>
      <c r="N27" s="2"/>
      <c r="O27" s="2"/>
    </row>
    <row r="28" spans="1:15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"/>
      <c r="N28" s="2"/>
      <c r="O28" s="2"/>
    </row>
    <row r="29" spans="1:15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2"/>
      <c r="N29" s="2"/>
      <c r="O29" s="2"/>
    </row>
    <row r="30" spans="1:15" ht="12.75">
      <c r="A30" s="12"/>
      <c r="B30" s="2"/>
      <c r="C30" s="2"/>
      <c r="D30" s="2"/>
      <c r="E30" s="2"/>
      <c r="F30" s="12"/>
      <c r="G30" s="2"/>
      <c r="H30" s="12"/>
      <c r="I30" s="2"/>
      <c r="J30" s="12"/>
      <c r="K30" s="2"/>
      <c r="L30" s="1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1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1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</sheetData>
  <mergeCells count="5">
    <mergeCell ref="M3:N3"/>
    <mergeCell ref="A1:E1"/>
    <mergeCell ref="D3:E3"/>
    <mergeCell ref="I3:J3"/>
    <mergeCell ref="K3:L3"/>
  </mergeCells>
  <printOptions/>
  <pageMargins left="0.28" right="0.21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8" sqref="G1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ДЕЗ 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Жилкомцентр</cp:lastModifiedBy>
  <cp:lastPrinted>2011-03-17T12:05:57Z</cp:lastPrinted>
  <dcterms:created xsi:type="dcterms:W3CDTF">2003-01-21T13:58:30Z</dcterms:created>
  <dcterms:modified xsi:type="dcterms:W3CDTF">2011-04-01T07:10:08Z</dcterms:modified>
  <cp:category/>
  <cp:version/>
  <cp:contentType/>
  <cp:contentStatus/>
</cp:coreProperties>
</file>